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vmfs.office.hiroshima-cu.ac.jp\事務局\教務・研究支援室\附属図書館グループ\01_附属図書館\03_資料\管理\除却→譲渡\除却資料譲渡（H23～）\H31(2019)\一般販売\リスト作業中\"/>
    </mc:Choice>
  </mc:AlternateContent>
  <xr:revisionPtr revIDLastSave="0" documentId="13_ncr:1_{8DD83535-B3F8-4915-8491-8F93CB118D2B}" xr6:coauthVersionLast="36" xr6:coauthVersionMax="36" xr10:uidLastSave="{00000000-0000-0000-0000-000000000000}"/>
  <bookViews>
    <workbookView xWindow="0" yWindow="0" windowWidth="19200" windowHeight="11550" xr2:uid="{00000000-000D-0000-FFFF-FFFF00000000}"/>
  </bookViews>
  <sheets>
    <sheet name="2019リユース市用図書リスト" sheetId="1" r:id="rId1"/>
  </sheets>
  <definedNames>
    <definedName name="_xlnm._FilterDatabase" localSheetId="0" hidden="1">'2019リユース市用図書リスト'!$A$1:$L$1625</definedName>
    <definedName name="_xlnm.Print_Area" localSheetId="0">'2019リユース市用図書リスト'!$A$1:$L$1630</definedName>
    <definedName name="_xlnm.Print_Titles" localSheetId="0">'2019リユース市用図書リスト'!$1:$1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25" i="1" l="1"/>
  <c r="H1625" i="1"/>
  <c r="G1625" i="1"/>
  <c r="E1625" i="1"/>
  <c r="D1625" i="1"/>
  <c r="C1625" i="1"/>
  <c r="K1624" i="1"/>
  <c r="H1624" i="1"/>
  <c r="G1624" i="1"/>
  <c r="E1624" i="1"/>
  <c r="D1624" i="1"/>
  <c r="C1624" i="1"/>
  <c r="K1623" i="1"/>
  <c r="H1623" i="1"/>
  <c r="G1623" i="1"/>
  <c r="E1623" i="1"/>
  <c r="D1623" i="1"/>
  <c r="C1623" i="1"/>
  <c r="K1622" i="1"/>
  <c r="H1622" i="1"/>
  <c r="G1622" i="1"/>
  <c r="E1622" i="1"/>
  <c r="D1622" i="1"/>
  <c r="C1622" i="1"/>
  <c r="K1621" i="1"/>
  <c r="H1621" i="1"/>
  <c r="G1621" i="1"/>
  <c r="E1621" i="1"/>
  <c r="D1621" i="1"/>
  <c r="C1621" i="1"/>
  <c r="K1620" i="1"/>
  <c r="H1620" i="1"/>
  <c r="G1620" i="1"/>
  <c r="E1620" i="1"/>
  <c r="D1620" i="1"/>
  <c r="C1620" i="1"/>
  <c r="K1619" i="1"/>
  <c r="H1619" i="1"/>
  <c r="G1619" i="1"/>
  <c r="E1619" i="1"/>
  <c r="D1619" i="1"/>
  <c r="C1619" i="1"/>
  <c r="K1618" i="1"/>
  <c r="H1618" i="1"/>
  <c r="G1618" i="1"/>
  <c r="E1618" i="1"/>
  <c r="D1618" i="1"/>
  <c r="C1618" i="1"/>
  <c r="K1617" i="1"/>
  <c r="H1617" i="1"/>
  <c r="G1617" i="1"/>
  <c r="E1617" i="1"/>
  <c r="D1617" i="1"/>
  <c r="C1617" i="1"/>
  <c r="K1616" i="1"/>
  <c r="H1616" i="1"/>
  <c r="G1616" i="1"/>
  <c r="E1616" i="1"/>
  <c r="D1616" i="1"/>
  <c r="C1616" i="1"/>
  <c r="K1615" i="1"/>
  <c r="H1615" i="1"/>
  <c r="G1615" i="1"/>
  <c r="E1615" i="1"/>
  <c r="D1615" i="1"/>
  <c r="C1615" i="1"/>
  <c r="K1614" i="1"/>
  <c r="H1614" i="1"/>
  <c r="G1614" i="1"/>
  <c r="E1614" i="1"/>
  <c r="D1614" i="1"/>
  <c r="C1614" i="1"/>
  <c r="K1613" i="1"/>
  <c r="H1613" i="1"/>
  <c r="G1613" i="1"/>
  <c r="E1613" i="1"/>
  <c r="D1613" i="1"/>
  <c r="C1613" i="1"/>
  <c r="K1612" i="1"/>
  <c r="H1612" i="1"/>
  <c r="G1612" i="1"/>
  <c r="E1612" i="1"/>
  <c r="D1612" i="1"/>
  <c r="C1612" i="1"/>
  <c r="K1611" i="1"/>
  <c r="H1611" i="1"/>
  <c r="G1611" i="1"/>
  <c r="E1611" i="1"/>
  <c r="D1611" i="1"/>
  <c r="C1611" i="1"/>
  <c r="K1610" i="1"/>
  <c r="H1610" i="1"/>
  <c r="G1610" i="1"/>
  <c r="E1610" i="1"/>
  <c r="D1610" i="1"/>
  <c r="C1610" i="1"/>
  <c r="K1609" i="1"/>
  <c r="H1609" i="1"/>
  <c r="G1609" i="1"/>
  <c r="E1609" i="1"/>
  <c r="D1609" i="1"/>
  <c r="C1609" i="1"/>
  <c r="K1608" i="1"/>
  <c r="H1608" i="1"/>
  <c r="G1608" i="1"/>
  <c r="E1608" i="1"/>
  <c r="D1608" i="1"/>
  <c r="C1608" i="1"/>
  <c r="K1607" i="1"/>
  <c r="H1607" i="1"/>
  <c r="G1607" i="1"/>
  <c r="E1607" i="1"/>
  <c r="D1607" i="1"/>
  <c r="C1607" i="1"/>
  <c r="K1606" i="1"/>
  <c r="H1606" i="1"/>
  <c r="G1606" i="1"/>
  <c r="E1606" i="1"/>
  <c r="D1606" i="1"/>
  <c r="C1606" i="1"/>
  <c r="K1605" i="1"/>
  <c r="H1605" i="1"/>
  <c r="G1605" i="1"/>
  <c r="E1605" i="1"/>
  <c r="D1605" i="1"/>
  <c r="C1605" i="1"/>
  <c r="K1604" i="1"/>
  <c r="H1604" i="1"/>
  <c r="G1604" i="1"/>
  <c r="E1604" i="1"/>
  <c r="D1604" i="1"/>
  <c r="C1604" i="1"/>
  <c r="K1603" i="1"/>
  <c r="H1603" i="1"/>
  <c r="G1603" i="1"/>
  <c r="E1603" i="1"/>
  <c r="D1603" i="1"/>
  <c r="C1603" i="1"/>
  <c r="K1602" i="1"/>
  <c r="H1602" i="1"/>
  <c r="G1602" i="1"/>
  <c r="E1602" i="1"/>
  <c r="D1602" i="1"/>
  <c r="C1602" i="1"/>
  <c r="K1601" i="1"/>
  <c r="H1601" i="1"/>
  <c r="G1601" i="1"/>
  <c r="E1601" i="1"/>
  <c r="D1601" i="1"/>
  <c r="C1601" i="1"/>
  <c r="K1600" i="1"/>
  <c r="H1600" i="1"/>
  <c r="G1600" i="1"/>
  <c r="E1600" i="1"/>
  <c r="D1600" i="1"/>
  <c r="C1600" i="1"/>
  <c r="K1599" i="1"/>
  <c r="H1599" i="1"/>
  <c r="G1599" i="1"/>
  <c r="E1599" i="1"/>
  <c r="D1599" i="1"/>
  <c r="C1599" i="1"/>
  <c r="K1598" i="1"/>
  <c r="H1598" i="1"/>
  <c r="G1598" i="1"/>
  <c r="E1598" i="1"/>
  <c r="D1598" i="1"/>
  <c r="C1598" i="1"/>
  <c r="K1597" i="1"/>
  <c r="H1597" i="1"/>
  <c r="G1597" i="1"/>
  <c r="E1597" i="1"/>
  <c r="D1597" i="1"/>
  <c r="C1597" i="1"/>
  <c r="K1596" i="1"/>
  <c r="H1596" i="1"/>
  <c r="G1596" i="1"/>
  <c r="E1596" i="1"/>
  <c r="D1596" i="1"/>
  <c r="C1596" i="1"/>
  <c r="K1595" i="1"/>
  <c r="H1595" i="1"/>
  <c r="G1595" i="1"/>
  <c r="E1595" i="1"/>
  <c r="D1595" i="1"/>
  <c r="C1595" i="1"/>
  <c r="K1594" i="1"/>
  <c r="H1594" i="1"/>
  <c r="G1594" i="1"/>
  <c r="E1594" i="1"/>
  <c r="D1594" i="1"/>
  <c r="C1594" i="1"/>
  <c r="K1593" i="1"/>
  <c r="H1593" i="1"/>
  <c r="G1593" i="1"/>
  <c r="E1593" i="1"/>
  <c r="D1593" i="1"/>
  <c r="C1593" i="1"/>
  <c r="K1592" i="1"/>
  <c r="H1592" i="1"/>
  <c r="G1592" i="1"/>
  <c r="E1592" i="1"/>
  <c r="D1592" i="1"/>
  <c r="C1592" i="1"/>
  <c r="K1591" i="1"/>
  <c r="H1591" i="1"/>
  <c r="G1591" i="1"/>
  <c r="E1591" i="1"/>
  <c r="D1591" i="1"/>
  <c r="C1591" i="1"/>
  <c r="K1590" i="1"/>
  <c r="H1590" i="1"/>
  <c r="G1590" i="1"/>
  <c r="E1590" i="1"/>
  <c r="D1590" i="1"/>
  <c r="C1590" i="1"/>
  <c r="K1589" i="1"/>
  <c r="H1589" i="1"/>
  <c r="G1589" i="1"/>
  <c r="E1589" i="1"/>
  <c r="D1589" i="1"/>
  <c r="C1589" i="1"/>
  <c r="K1588" i="1"/>
  <c r="H1588" i="1"/>
  <c r="G1588" i="1"/>
  <c r="E1588" i="1"/>
  <c r="D1588" i="1"/>
  <c r="C1588" i="1"/>
  <c r="K1587" i="1"/>
  <c r="H1587" i="1"/>
  <c r="G1587" i="1"/>
  <c r="E1587" i="1"/>
  <c r="D1587" i="1"/>
  <c r="C1587" i="1"/>
  <c r="K1586" i="1"/>
  <c r="H1586" i="1"/>
  <c r="G1586" i="1"/>
  <c r="E1586" i="1"/>
  <c r="D1586" i="1"/>
  <c r="C1586" i="1"/>
  <c r="K1585" i="1"/>
  <c r="H1585" i="1"/>
  <c r="G1585" i="1"/>
  <c r="E1585" i="1"/>
  <c r="D1585" i="1"/>
  <c r="C1585" i="1"/>
  <c r="K1584" i="1"/>
  <c r="H1584" i="1"/>
  <c r="G1584" i="1"/>
  <c r="E1584" i="1"/>
  <c r="D1584" i="1"/>
  <c r="C1584" i="1"/>
  <c r="K1583" i="1"/>
  <c r="H1583" i="1"/>
  <c r="G1583" i="1"/>
  <c r="E1583" i="1"/>
  <c r="D1583" i="1"/>
  <c r="C1583" i="1"/>
  <c r="K1582" i="1"/>
  <c r="H1582" i="1"/>
  <c r="G1582" i="1"/>
  <c r="E1582" i="1"/>
  <c r="D1582" i="1"/>
  <c r="C1582" i="1"/>
  <c r="K1581" i="1"/>
  <c r="H1581" i="1"/>
  <c r="G1581" i="1"/>
  <c r="E1581" i="1"/>
  <c r="D1581" i="1"/>
  <c r="C1581" i="1"/>
  <c r="K1580" i="1"/>
  <c r="H1580" i="1"/>
  <c r="G1580" i="1"/>
  <c r="E1580" i="1"/>
  <c r="D1580" i="1"/>
  <c r="C1580" i="1"/>
  <c r="K1579" i="1"/>
  <c r="H1579" i="1"/>
  <c r="G1579" i="1"/>
  <c r="E1579" i="1"/>
  <c r="D1579" i="1"/>
  <c r="C1579" i="1"/>
  <c r="K1578" i="1"/>
  <c r="H1578" i="1"/>
  <c r="G1578" i="1"/>
  <c r="E1578" i="1"/>
  <c r="D1578" i="1"/>
  <c r="C1578" i="1"/>
  <c r="K1577" i="1"/>
  <c r="H1577" i="1"/>
  <c r="G1577" i="1"/>
  <c r="E1577" i="1"/>
  <c r="D1577" i="1"/>
  <c r="C1577" i="1"/>
  <c r="K1576" i="1"/>
  <c r="H1576" i="1"/>
  <c r="G1576" i="1"/>
  <c r="E1576" i="1"/>
  <c r="D1576" i="1"/>
  <c r="C1576" i="1"/>
  <c r="K1575" i="1"/>
  <c r="H1575" i="1"/>
  <c r="G1575" i="1"/>
  <c r="E1575" i="1"/>
  <c r="D1575" i="1"/>
  <c r="C1575" i="1"/>
  <c r="K1574" i="1"/>
  <c r="H1574" i="1"/>
  <c r="G1574" i="1"/>
  <c r="E1574" i="1"/>
  <c r="D1574" i="1"/>
  <c r="C1574" i="1"/>
  <c r="K1573" i="1"/>
  <c r="H1573" i="1"/>
  <c r="G1573" i="1"/>
  <c r="E1573" i="1"/>
  <c r="D1573" i="1"/>
  <c r="C1573" i="1"/>
  <c r="K1572" i="1"/>
  <c r="H1572" i="1"/>
  <c r="G1572" i="1"/>
  <c r="E1572" i="1"/>
  <c r="D1572" i="1"/>
  <c r="C1572" i="1"/>
  <c r="K1571" i="1"/>
  <c r="H1571" i="1"/>
  <c r="G1571" i="1"/>
  <c r="E1571" i="1"/>
  <c r="D1571" i="1"/>
  <c r="C1571" i="1"/>
  <c r="K1570" i="1"/>
  <c r="H1570" i="1"/>
  <c r="G1570" i="1"/>
  <c r="E1570" i="1"/>
  <c r="D1570" i="1"/>
  <c r="C1570" i="1"/>
  <c r="K1569" i="1"/>
  <c r="H1569" i="1"/>
  <c r="G1569" i="1"/>
  <c r="E1569" i="1"/>
  <c r="C1569" i="1"/>
  <c r="K1568" i="1"/>
  <c r="H1568" i="1"/>
  <c r="G1568" i="1"/>
  <c r="E1568" i="1"/>
  <c r="C1568" i="1"/>
  <c r="K1567" i="1"/>
  <c r="H1567" i="1"/>
  <c r="G1567" i="1"/>
  <c r="E1567" i="1"/>
  <c r="C1567" i="1"/>
  <c r="K1566" i="1"/>
  <c r="H1566" i="1"/>
  <c r="G1566" i="1"/>
  <c r="E1566" i="1"/>
  <c r="C1566" i="1"/>
  <c r="K1565" i="1"/>
  <c r="H1565" i="1"/>
  <c r="G1565" i="1"/>
  <c r="E1565" i="1"/>
  <c r="D1565" i="1"/>
  <c r="C1565" i="1"/>
  <c r="K1564" i="1"/>
  <c r="H1564" i="1"/>
  <c r="G1564" i="1"/>
  <c r="E1564" i="1"/>
  <c r="D1564" i="1"/>
  <c r="C1564" i="1"/>
  <c r="K1563" i="1"/>
  <c r="H1563" i="1"/>
  <c r="G1563" i="1"/>
  <c r="E1563" i="1"/>
  <c r="D1563" i="1"/>
  <c r="C1563" i="1"/>
  <c r="K1562" i="1"/>
  <c r="H1562" i="1"/>
  <c r="G1562" i="1"/>
  <c r="E1562" i="1"/>
  <c r="D1562" i="1"/>
  <c r="C1562" i="1"/>
  <c r="K1561" i="1"/>
  <c r="H1561" i="1"/>
  <c r="G1561" i="1"/>
  <c r="E1561" i="1"/>
  <c r="D1561" i="1"/>
  <c r="C1561" i="1"/>
  <c r="K1560" i="1"/>
  <c r="H1560" i="1"/>
  <c r="G1560" i="1"/>
  <c r="E1560" i="1"/>
  <c r="D1560" i="1"/>
  <c r="C1560" i="1"/>
  <c r="K1559" i="1"/>
  <c r="H1559" i="1"/>
  <c r="G1559" i="1"/>
  <c r="E1559" i="1"/>
  <c r="D1559" i="1"/>
  <c r="C1559" i="1"/>
  <c r="K1558" i="1"/>
  <c r="H1558" i="1"/>
  <c r="G1558" i="1"/>
  <c r="E1558" i="1"/>
  <c r="D1558" i="1"/>
  <c r="C1558" i="1"/>
  <c r="K1557" i="1"/>
  <c r="H1557" i="1"/>
  <c r="G1557" i="1"/>
  <c r="E1557" i="1"/>
  <c r="D1557" i="1"/>
  <c r="C1557" i="1"/>
  <c r="K1556" i="1"/>
  <c r="H1556" i="1"/>
  <c r="G1556" i="1"/>
  <c r="E1556" i="1"/>
  <c r="D1556" i="1"/>
  <c r="C1556" i="1"/>
  <c r="K1555" i="1"/>
  <c r="H1555" i="1"/>
  <c r="G1555" i="1"/>
  <c r="E1555" i="1"/>
  <c r="D1555" i="1"/>
  <c r="C1555" i="1"/>
  <c r="K1554" i="1"/>
  <c r="H1554" i="1"/>
  <c r="G1554" i="1"/>
  <c r="E1554" i="1"/>
  <c r="D1554" i="1"/>
  <c r="C1554" i="1"/>
  <c r="K1553" i="1"/>
  <c r="H1553" i="1"/>
  <c r="G1553" i="1"/>
  <c r="E1553" i="1"/>
  <c r="D1553" i="1"/>
  <c r="C1553" i="1"/>
  <c r="K1552" i="1"/>
  <c r="H1552" i="1"/>
  <c r="G1552" i="1"/>
  <c r="E1552" i="1"/>
  <c r="D1552" i="1"/>
  <c r="C1552" i="1"/>
  <c r="K1551" i="1"/>
  <c r="H1551" i="1"/>
  <c r="G1551" i="1"/>
  <c r="E1551" i="1"/>
  <c r="D1551" i="1"/>
  <c r="C1551" i="1"/>
  <c r="K1550" i="1"/>
  <c r="H1550" i="1"/>
  <c r="G1550" i="1"/>
  <c r="E1550" i="1"/>
  <c r="D1550" i="1"/>
  <c r="C1550" i="1"/>
  <c r="K1549" i="1"/>
  <c r="H1549" i="1"/>
  <c r="G1549" i="1"/>
  <c r="E1549" i="1"/>
  <c r="D1549" i="1"/>
  <c r="C1549" i="1"/>
  <c r="K1548" i="1"/>
  <c r="H1548" i="1"/>
  <c r="G1548" i="1"/>
  <c r="E1548" i="1"/>
  <c r="D1548" i="1"/>
  <c r="C1548" i="1"/>
  <c r="K1547" i="1"/>
  <c r="H1547" i="1"/>
  <c r="G1547" i="1"/>
  <c r="E1547" i="1"/>
  <c r="D1547" i="1"/>
  <c r="C1547" i="1"/>
  <c r="K1546" i="1"/>
  <c r="H1546" i="1"/>
  <c r="G1546" i="1"/>
  <c r="E1546" i="1"/>
  <c r="D1546" i="1"/>
  <c r="C1546" i="1"/>
  <c r="K1545" i="1"/>
  <c r="H1545" i="1"/>
  <c r="G1545" i="1"/>
  <c r="E1545" i="1"/>
  <c r="D1545" i="1"/>
  <c r="C1545" i="1"/>
  <c r="K1544" i="1"/>
  <c r="H1544" i="1"/>
  <c r="G1544" i="1"/>
  <c r="E1544" i="1"/>
  <c r="D1544" i="1"/>
  <c r="C1544" i="1"/>
  <c r="K1543" i="1"/>
  <c r="H1543" i="1"/>
  <c r="G1543" i="1"/>
  <c r="E1543" i="1"/>
  <c r="D1543" i="1"/>
  <c r="C1543" i="1"/>
  <c r="K1542" i="1"/>
  <c r="H1542" i="1"/>
  <c r="G1542" i="1"/>
  <c r="E1542" i="1"/>
  <c r="D1542" i="1"/>
  <c r="C1542" i="1"/>
  <c r="K1541" i="1"/>
  <c r="H1541" i="1"/>
  <c r="G1541" i="1"/>
  <c r="E1541" i="1"/>
  <c r="D1541" i="1"/>
  <c r="C1541" i="1"/>
  <c r="K1540" i="1"/>
  <c r="H1540" i="1"/>
  <c r="G1540" i="1"/>
  <c r="E1540" i="1"/>
  <c r="D1540" i="1"/>
  <c r="C1540" i="1"/>
  <c r="K1539" i="1"/>
  <c r="H1539" i="1"/>
  <c r="G1539" i="1"/>
  <c r="E1539" i="1"/>
  <c r="D1539" i="1"/>
  <c r="C1539" i="1"/>
  <c r="K1538" i="1"/>
  <c r="H1538" i="1"/>
  <c r="G1538" i="1"/>
  <c r="E1538" i="1"/>
  <c r="D1538" i="1"/>
  <c r="C1538" i="1"/>
  <c r="K1537" i="1"/>
  <c r="H1537" i="1"/>
  <c r="G1537" i="1"/>
  <c r="E1537" i="1"/>
  <c r="D1537" i="1"/>
  <c r="C1537" i="1"/>
  <c r="K1536" i="1"/>
  <c r="H1536" i="1"/>
  <c r="G1536" i="1"/>
  <c r="E1536" i="1"/>
  <c r="D1536" i="1"/>
  <c r="C1536" i="1"/>
  <c r="K1535" i="1"/>
  <c r="H1535" i="1"/>
  <c r="G1535" i="1"/>
  <c r="E1535" i="1"/>
  <c r="D1535" i="1"/>
  <c r="C1535" i="1"/>
  <c r="K1534" i="1"/>
  <c r="H1534" i="1"/>
  <c r="G1534" i="1"/>
  <c r="E1534" i="1"/>
  <c r="D1534" i="1"/>
  <c r="C1534" i="1"/>
  <c r="K1533" i="1"/>
  <c r="H1533" i="1"/>
  <c r="G1533" i="1"/>
  <c r="E1533" i="1"/>
  <c r="D1533" i="1"/>
  <c r="C1533" i="1"/>
  <c r="K1532" i="1"/>
  <c r="H1532" i="1"/>
  <c r="G1532" i="1"/>
  <c r="E1532" i="1"/>
  <c r="D1532" i="1"/>
  <c r="C1532" i="1"/>
  <c r="K1531" i="1"/>
  <c r="H1531" i="1"/>
  <c r="G1531" i="1"/>
  <c r="E1531" i="1"/>
  <c r="D1531" i="1"/>
  <c r="C1531" i="1"/>
  <c r="K1530" i="1"/>
  <c r="H1530" i="1"/>
  <c r="G1530" i="1"/>
  <c r="E1530" i="1"/>
  <c r="D1530" i="1"/>
  <c r="C1530" i="1"/>
  <c r="K1529" i="1"/>
  <c r="H1529" i="1"/>
  <c r="G1529" i="1"/>
  <c r="E1529" i="1"/>
  <c r="D1529" i="1"/>
  <c r="C1529" i="1"/>
  <c r="K1528" i="1"/>
  <c r="H1528" i="1"/>
  <c r="G1528" i="1"/>
  <c r="E1528" i="1"/>
  <c r="D1528" i="1"/>
  <c r="C1528" i="1"/>
  <c r="K1527" i="1"/>
  <c r="H1527" i="1"/>
  <c r="G1527" i="1"/>
  <c r="E1527" i="1"/>
  <c r="D1527" i="1"/>
  <c r="C1527" i="1"/>
  <c r="K1526" i="1"/>
  <c r="H1526" i="1"/>
  <c r="G1526" i="1"/>
  <c r="E1526" i="1"/>
  <c r="D1526" i="1"/>
  <c r="C1526" i="1"/>
  <c r="K1525" i="1"/>
  <c r="H1525" i="1"/>
  <c r="G1525" i="1"/>
  <c r="E1525" i="1"/>
  <c r="D1525" i="1"/>
  <c r="C1525" i="1"/>
  <c r="K1524" i="1"/>
  <c r="H1524" i="1"/>
  <c r="G1524" i="1"/>
  <c r="E1524" i="1"/>
  <c r="D1524" i="1"/>
  <c r="C1524" i="1"/>
  <c r="K1523" i="1"/>
  <c r="H1523" i="1"/>
  <c r="G1523" i="1"/>
  <c r="E1523" i="1"/>
  <c r="D1523" i="1"/>
  <c r="C1523" i="1"/>
  <c r="K1522" i="1"/>
  <c r="H1522" i="1"/>
  <c r="G1522" i="1"/>
  <c r="E1522" i="1"/>
  <c r="D1522" i="1"/>
  <c r="C1522" i="1"/>
  <c r="K1521" i="1"/>
  <c r="H1521" i="1"/>
  <c r="G1521" i="1"/>
  <c r="E1521" i="1"/>
  <c r="D1521" i="1"/>
  <c r="C1521" i="1"/>
  <c r="K1520" i="1"/>
  <c r="H1520" i="1"/>
  <c r="G1520" i="1"/>
  <c r="E1520" i="1"/>
  <c r="D1520" i="1"/>
  <c r="C1520" i="1"/>
  <c r="K1519" i="1"/>
  <c r="H1519" i="1"/>
  <c r="G1519" i="1"/>
  <c r="E1519" i="1"/>
  <c r="D1519" i="1"/>
  <c r="C1519" i="1"/>
  <c r="K1518" i="1"/>
  <c r="H1518" i="1"/>
  <c r="G1518" i="1"/>
  <c r="E1518" i="1"/>
  <c r="D1518" i="1"/>
  <c r="C1518" i="1"/>
  <c r="K1517" i="1"/>
  <c r="H1517" i="1"/>
  <c r="G1517" i="1"/>
  <c r="E1517" i="1"/>
  <c r="D1517" i="1"/>
  <c r="C1517" i="1"/>
  <c r="K1516" i="1"/>
  <c r="H1516" i="1"/>
  <c r="G1516" i="1"/>
  <c r="E1516" i="1"/>
  <c r="D1516" i="1"/>
  <c r="C1516" i="1"/>
  <c r="K1515" i="1"/>
  <c r="H1515" i="1"/>
  <c r="G1515" i="1"/>
  <c r="E1515" i="1"/>
  <c r="D1515" i="1"/>
  <c r="C1515" i="1"/>
  <c r="K1514" i="1"/>
  <c r="H1514" i="1"/>
  <c r="G1514" i="1"/>
  <c r="E1514" i="1"/>
  <c r="D1514" i="1"/>
  <c r="C1514" i="1"/>
  <c r="K1513" i="1"/>
  <c r="H1513" i="1"/>
  <c r="G1513" i="1"/>
  <c r="E1513" i="1"/>
  <c r="D1513" i="1"/>
  <c r="C1513" i="1"/>
  <c r="K1512" i="1"/>
  <c r="H1512" i="1"/>
  <c r="G1512" i="1"/>
  <c r="E1512" i="1"/>
  <c r="D1512" i="1"/>
  <c r="C1512" i="1"/>
  <c r="K1511" i="1"/>
  <c r="H1511" i="1"/>
  <c r="G1511" i="1"/>
  <c r="E1511" i="1"/>
  <c r="D1511" i="1"/>
  <c r="C1511" i="1"/>
  <c r="K1510" i="1"/>
  <c r="H1510" i="1"/>
  <c r="G1510" i="1"/>
  <c r="E1510" i="1"/>
  <c r="D1510" i="1"/>
  <c r="C1510" i="1"/>
  <c r="K1509" i="1"/>
  <c r="H1509" i="1"/>
  <c r="G1509" i="1"/>
  <c r="E1509" i="1"/>
  <c r="D1509" i="1"/>
  <c r="C1509" i="1"/>
  <c r="K1508" i="1"/>
  <c r="H1508" i="1"/>
  <c r="G1508" i="1"/>
  <c r="E1508" i="1"/>
  <c r="D1508" i="1"/>
  <c r="C1508" i="1"/>
  <c r="K1507" i="1"/>
  <c r="H1507" i="1"/>
  <c r="G1507" i="1"/>
  <c r="E1507" i="1"/>
  <c r="D1507" i="1"/>
  <c r="C1507" i="1"/>
  <c r="K1506" i="1"/>
  <c r="H1506" i="1"/>
  <c r="G1506" i="1"/>
  <c r="E1506" i="1"/>
  <c r="D1506" i="1"/>
  <c r="C1506" i="1"/>
  <c r="K1505" i="1"/>
  <c r="H1505" i="1"/>
  <c r="G1505" i="1"/>
  <c r="E1505" i="1"/>
  <c r="D1505" i="1"/>
  <c r="C1505" i="1"/>
  <c r="K1504" i="1"/>
  <c r="H1504" i="1"/>
  <c r="G1504" i="1"/>
  <c r="E1504" i="1"/>
  <c r="D1504" i="1"/>
  <c r="C1504" i="1"/>
  <c r="K1503" i="1"/>
  <c r="H1503" i="1"/>
  <c r="G1503" i="1"/>
  <c r="E1503" i="1"/>
  <c r="D1503" i="1"/>
  <c r="C1503" i="1"/>
  <c r="K1502" i="1"/>
  <c r="H1502" i="1"/>
  <c r="G1502" i="1"/>
  <c r="E1502" i="1"/>
  <c r="D1502" i="1"/>
  <c r="C1502" i="1"/>
  <c r="K1501" i="1"/>
  <c r="H1501" i="1"/>
  <c r="G1501" i="1"/>
  <c r="E1501" i="1"/>
  <c r="D1501" i="1"/>
  <c r="C1501" i="1"/>
  <c r="K1500" i="1"/>
  <c r="H1500" i="1"/>
  <c r="G1500" i="1"/>
  <c r="E1500" i="1"/>
  <c r="D1500" i="1"/>
  <c r="C1500" i="1"/>
  <c r="K1499" i="1"/>
  <c r="H1499" i="1"/>
  <c r="G1499" i="1"/>
  <c r="E1499" i="1"/>
  <c r="D1499" i="1"/>
  <c r="C1499" i="1"/>
  <c r="K1498" i="1"/>
  <c r="H1498" i="1"/>
  <c r="G1498" i="1"/>
  <c r="E1498" i="1"/>
  <c r="D1498" i="1"/>
  <c r="C1498" i="1"/>
  <c r="K1497" i="1"/>
  <c r="H1497" i="1"/>
  <c r="G1497" i="1"/>
  <c r="E1497" i="1"/>
  <c r="D1497" i="1"/>
  <c r="C1497" i="1"/>
  <c r="K1496" i="1"/>
  <c r="H1496" i="1"/>
  <c r="G1496" i="1"/>
  <c r="E1496" i="1"/>
  <c r="D1496" i="1"/>
  <c r="C1496" i="1"/>
  <c r="K1495" i="1"/>
  <c r="H1495" i="1"/>
  <c r="G1495" i="1"/>
  <c r="E1495" i="1"/>
  <c r="D1495" i="1"/>
  <c r="C1495" i="1"/>
  <c r="K1494" i="1"/>
  <c r="H1494" i="1"/>
  <c r="G1494" i="1"/>
  <c r="E1494" i="1"/>
  <c r="D1494" i="1"/>
  <c r="C1494" i="1"/>
  <c r="K1493" i="1"/>
  <c r="H1493" i="1"/>
  <c r="G1493" i="1"/>
  <c r="E1493" i="1"/>
  <c r="D1493" i="1"/>
  <c r="C1493" i="1"/>
  <c r="K1492" i="1"/>
  <c r="H1492" i="1"/>
  <c r="G1492" i="1"/>
  <c r="E1492" i="1"/>
  <c r="D1492" i="1"/>
  <c r="C1492" i="1"/>
  <c r="K1491" i="1"/>
  <c r="H1491" i="1"/>
  <c r="G1491" i="1"/>
  <c r="E1491" i="1"/>
  <c r="D1491" i="1"/>
  <c r="C1491" i="1"/>
  <c r="K1490" i="1"/>
  <c r="H1490" i="1"/>
  <c r="G1490" i="1"/>
  <c r="E1490" i="1"/>
  <c r="D1490" i="1"/>
  <c r="C1490" i="1"/>
  <c r="K1489" i="1"/>
  <c r="H1489" i="1"/>
  <c r="G1489" i="1"/>
  <c r="E1489" i="1"/>
  <c r="D1489" i="1"/>
  <c r="C1489" i="1"/>
  <c r="K1488" i="1"/>
  <c r="H1488" i="1"/>
  <c r="G1488" i="1"/>
  <c r="E1488" i="1"/>
  <c r="D1488" i="1"/>
  <c r="C1488" i="1"/>
  <c r="K1487" i="1"/>
  <c r="H1487" i="1"/>
  <c r="G1487" i="1"/>
  <c r="E1487" i="1"/>
  <c r="D1487" i="1"/>
  <c r="C1487" i="1"/>
  <c r="K1486" i="1"/>
  <c r="H1486" i="1"/>
  <c r="G1486" i="1"/>
  <c r="E1486" i="1"/>
  <c r="D1486" i="1"/>
  <c r="C1486" i="1"/>
  <c r="K1485" i="1"/>
  <c r="H1485" i="1"/>
  <c r="G1485" i="1"/>
  <c r="E1485" i="1"/>
  <c r="D1485" i="1"/>
  <c r="C1485" i="1"/>
  <c r="K1484" i="1"/>
  <c r="H1484" i="1"/>
  <c r="G1484" i="1"/>
  <c r="E1484" i="1"/>
  <c r="D1484" i="1"/>
  <c r="C1484" i="1"/>
  <c r="K1483" i="1"/>
  <c r="H1483" i="1"/>
  <c r="G1483" i="1"/>
  <c r="E1483" i="1"/>
  <c r="D1483" i="1"/>
  <c r="C1483" i="1"/>
  <c r="K1482" i="1"/>
  <c r="H1482" i="1"/>
  <c r="G1482" i="1"/>
  <c r="E1482" i="1"/>
  <c r="D1482" i="1"/>
  <c r="C1482" i="1"/>
  <c r="K1481" i="1"/>
  <c r="H1481" i="1"/>
  <c r="G1481" i="1"/>
  <c r="E1481" i="1"/>
  <c r="D1481" i="1"/>
  <c r="C1481" i="1"/>
  <c r="K1480" i="1"/>
  <c r="H1480" i="1"/>
  <c r="G1480" i="1"/>
  <c r="E1480" i="1"/>
  <c r="D1480" i="1"/>
  <c r="C1480" i="1"/>
  <c r="K1479" i="1"/>
  <c r="H1479" i="1"/>
  <c r="G1479" i="1"/>
  <c r="E1479" i="1"/>
  <c r="D1479" i="1"/>
  <c r="C1479" i="1"/>
  <c r="K1478" i="1"/>
  <c r="H1478" i="1"/>
  <c r="G1478" i="1"/>
  <c r="E1478" i="1"/>
  <c r="D1478" i="1"/>
  <c r="C1478" i="1"/>
  <c r="K1477" i="1"/>
  <c r="H1477" i="1"/>
  <c r="G1477" i="1"/>
  <c r="E1477" i="1"/>
  <c r="D1477" i="1"/>
  <c r="C1477" i="1"/>
  <c r="K1476" i="1"/>
  <c r="H1476" i="1"/>
  <c r="G1476" i="1"/>
  <c r="E1476" i="1"/>
  <c r="D1476" i="1"/>
  <c r="C1476" i="1"/>
  <c r="K1475" i="1"/>
  <c r="H1475" i="1"/>
  <c r="G1475" i="1"/>
  <c r="E1475" i="1"/>
  <c r="D1475" i="1"/>
  <c r="C1475" i="1"/>
  <c r="K1474" i="1"/>
  <c r="H1474" i="1"/>
  <c r="G1474" i="1"/>
  <c r="E1474" i="1"/>
  <c r="D1474" i="1"/>
  <c r="C1474" i="1"/>
  <c r="K1473" i="1"/>
  <c r="H1473" i="1"/>
  <c r="G1473" i="1"/>
  <c r="E1473" i="1"/>
  <c r="D1473" i="1"/>
  <c r="C1473" i="1"/>
  <c r="K1472" i="1"/>
  <c r="H1472" i="1"/>
  <c r="G1472" i="1"/>
  <c r="E1472" i="1"/>
  <c r="D1472" i="1"/>
  <c r="C1472" i="1"/>
  <c r="K1471" i="1"/>
  <c r="H1471" i="1"/>
  <c r="G1471" i="1"/>
  <c r="E1471" i="1"/>
  <c r="D1471" i="1"/>
  <c r="C1471" i="1"/>
  <c r="K1470" i="1"/>
  <c r="H1470" i="1"/>
  <c r="G1470" i="1"/>
  <c r="E1470" i="1"/>
  <c r="D1470" i="1"/>
  <c r="C1470" i="1"/>
  <c r="K1469" i="1"/>
  <c r="H1469" i="1"/>
  <c r="G1469" i="1"/>
  <c r="E1469" i="1"/>
  <c r="D1469" i="1"/>
  <c r="C1469" i="1"/>
  <c r="K1468" i="1"/>
  <c r="H1468" i="1"/>
  <c r="G1468" i="1"/>
  <c r="E1468" i="1"/>
  <c r="D1468" i="1"/>
  <c r="C1468" i="1"/>
  <c r="K1467" i="1"/>
  <c r="H1467" i="1"/>
  <c r="G1467" i="1"/>
  <c r="E1467" i="1"/>
  <c r="D1467" i="1"/>
  <c r="C1467" i="1"/>
  <c r="K1466" i="1"/>
  <c r="H1466" i="1"/>
  <c r="G1466" i="1"/>
  <c r="E1466" i="1"/>
  <c r="D1466" i="1"/>
  <c r="C1466" i="1"/>
  <c r="K1465" i="1"/>
  <c r="H1465" i="1"/>
  <c r="G1465" i="1"/>
  <c r="E1465" i="1"/>
  <c r="D1465" i="1"/>
  <c r="C1465" i="1"/>
  <c r="K1464" i="1"/>
  <c r="H1464" i="1"/>
  <c r="G1464" i="1"/>
  <c r="E1464" i="1"/>
  <c r="D1464" i="1"/>
  <c r="C1464" i="1"/>
  <c r="K1463" i="1"/>
  <c r="H1463" i="1"/>
  <c r="G1463" i="1"/>
  <c r="E1463" i="1"/>
  <c r="D1463" i="1"/>
  <c r="C1463" i="1"/>
  <c r="K1462" i="1"/>
  <c r="H1462" i="1"/>
  <c r="G1462" i="1"/>
  <c r="E1462" i="1"/>
  <c r="D1462" i="1"/>
  <c r="C1462" i="1"/>
  <c r="K1461" i="1"/>
  <c r="H1461" i="1"/>
  <c r="G1461" i="1"/>
  <c r="E1461" i="1"/>
  <c r="D1461" i="1"/>
  <c r="C1461" i="1"/>
  <c r="K1460" i="1"/>
  <c r="H1460" i="1"/>
  <c r="G1460" i="1"/>
  <c r="E1460" i="1"/>
  <c r="D1460" i="1"/>
  <c r="C1460" i="1"/>
  <c r="K1459" i="1"/>
  <c r="H1459" i="1"/>
  <c r="G1459" i="1"/>
  <c r="E1459" i="1"/>
  <c r="D1459" i="1"/>
  <c r="C1459" i="1"/>
  <c r="K1458" i="1"/>
  <c r="H1458" i="1"/>
  <c r="G1458" i="1"/>
  <c r="E1458" i="1"/>
  <c r="D1458" i="1"/>
  <c r="C1458" i="1"/>
  <c r="K1457" i="1"/>
  <c r="H1457" i="1"/>
  <c r="G1457" i="1"/>
  <c r="E1457" i="1"/>
  <c r="D1457" i="1"/>
  <c r="C1457" i="1"/>
  <c r="K1456" i="1"/>
  <c r="H1456" i="1"/>
  <c r="G1456" i="1"/>
  <c r="E1456" i="1"/>
  <c r="D1456" i="1"/>
  <c r="C1456" i="1"/>
  <c r="K1455" i="1"/>
  <c r="H1455" i="1"/>
  <c r="G1455" i="1"/>
  <c r="E1455" i="1"/>
  <c r="D1455" i="1"/>
  <c r="C1455" i="1"/>
  <c r="K1454" i="1"/>
  <c r="H1454" i="1"/>
  <c r="G1454" i="1"/>
  <c r="E1454" i="1"/>
  <c r="D1454" i="1"/>
  <c r="C1454" i="1"/>
  <c r="K1453" i="1"/>
  <c r="H1453" i="1"/>
  <c r="G1453" i="1"/>
  <c r="E1453" i="1"/>
  <c r="D1453" i="1"/>
  <c r="C1453" i="1"/>
  <c r="K1452" i="1"/>
  <c r="H1452" i="1"/>
  <c r="G1452" i="1"/>
  <c r="E1452" i="1"/>
  <c r="D1452" i="1"/>
  <c r="C1452" i="1"/>
  <c r="K1451" i="1"/>
  <c r="H1451" i="1"/>
  <c r="G1451" i="1"/>
  <c r="E1451" i="1"/>
  <c r="D1451" i="1"/>
  <c r="C1451" i="1"/>
  <c r="K1450" i="1"/>
  <c r="H1450" i="1"/>
  <c r="G1450" i="1"/>
  <c r="E1450" i="1"/>
  <c r="D1450" i="1"/>
  <c r="C1450" i="1"/>
  <c r="K1449" i="1"/>
  <c r="H1449" i="1"/>
  <c r="G1449" i="1"/>
  <c r="E1449" i="1"/>
  <c r="D1449" i="1"/>
  <c r="C1449" i="1"/>
  <c r="K1448" i="1"/>
  <c r="H1448" i="1"/>
  <c r="G1448" i="1"/>
  <c r="E1448" i="1"/>
  <c r="D1448" i="1"/>
  <c r="C1448" i="1"/>
  <c r="K1447" i="1"/>
  <c r="H1447" i="1"/>
  <c r="G1447" i="1"/>
  <c r="E1447" i="1"/>
  <c r="D1447" i="1"/>
  <c r="C1447" i="1"/>
  <c r="K1446" i="1"/>
  <c r="H1446" i="1"/>
  <c r="G1446" i="1"/>
  <c r="E1446" i="1"/>
  <c r="D1446" i="1"/>
  <c r="C1446" i="1"/>
  <c r="K1445" i="1"/>
  <c r="H1445" i="1"/>
  <c r="G1445" i="1"/>
  <c r="E1445" i="1"/>
  <c r="D1445" i="1"/>
  <c r="C1445" i="1"/>
  <c r="K1444" i="1"/>
  <c r="H1444" i="1"/>
  <c r="G1444" i="1"/>
  <c r="E1444" i="1"/>
  <c r="D1444" i="1"/>
  <c r="C1444" i="1"/>
  <c r="K1443" i="1"/>
  <c r="H1443" i="1"/>
  <c r="G1443" i="1"/>
  <c r="E1443" i="1"/>
  <c r="D1443" i="1"/>
  <c r="C1443" i="1"/>
  <c r="K1442" i="1"/>
  <c r="H1442" i="1"/>
  <c r="G1442" i="1"/>
  <c r="E1442" i="1"/>
  <c r="D1442" i="1"/>
  <c r="C1442" i="1"/>
  <c r="K1441" i="1"/>
  <c r="H1441" i="1"/>
  <c r="G1441" i="1"/>
  <c r="E1441" i="1"/>
  <c r="D1441" i="1"/>
  <c r="C1441" i="1"/>
  <c r="K1440" i="1"/>
  <c r="H1440" i="1"/>
  <c r="G1440" i="1"/>
  <c r="E1440" i="1"/>
  <c r="D1440" i="1"/>
  <c r="C1440" i="1"/>
  <c r="K1439" i="1"/>
  <c r="H1439" i="1"/>
  <c r="G1439" i="1"/>
  <c r="E1439" i="1"/>
  <c r="D1439" i="1"/>
  <c r="C1439" i="1"/>
  <c r="K1438" i="1"/>
  <c r="H1438" i="1"/>
  <c r="G1438" i="1"/>
  <c r="E1438" i="1"/>
  <c r="D1438" i="1"/>
  <c r="C1438" i="1"/>
  <c r="K1437" i="1"/>
  <c r="H1437" i="1"/>
  <c r="G1437" i="1"/>
  <c r="E1437" i="1"/>
  <c r="D1437" i="1"/>
  <c r="C1437" i="1"/>
  <c r="K1436" i="1"/>
  <c r="H1436" i="1"/>
  <c r="G1436" i="1"/>
  <c r="E1436" i="1"/>
  <c r="D1436" i="1"/>
  <c r="C1436" i="1"/>
  <c r="K1435" i="1"/>
  <c r="H1435" i="1"/>
  <c r="G1435" i="1"/>
  <c r="E1435" i="1"/>
  <c r="D1435" i="1"/>
  <c r="C1435" i="1"/>
  <c r="K1434" i="1"/>
  <c r="H1434" i="1"/>
  <c r="G1434" i="1"/>
  <c r="E1434" i="1"/>
  <c r="D1434" i="1"/>
  <c r="C1434" i="1"/>
  <c r="K1433" i="1"/>
  <c r="H1433" i="1"/>
  <c r="G1433" i="1"/>
  <c r="E1433" i="1"/>
  <c r="D1433" i="1"/>
  <c r="C1433" i="1"/>
  <c r="K1432" i="1"/>
  <c r="H1432" i="1"/>
  <c r="G1432" i="1"/>
  <c r="E1432" i="1"/>
  <c r="D1432" i="1"/>
  <c r="C1432" i="1"/>
  <c r="K1431" i="1"/>
  <c r="H1431" i="1"/>
  <c r="G1431" i="1"/>
  <c r="E1431" i="1"/>
  <c r="D1431" i="1"/>
  <c r="C1431" i="1"/>
  <c r="K1430" i="1"/>
  <c r="H1430" i="1"/>
  <c r="G1430" i="1"/>
  <c r="E1430" i="1"/>
  <c r="D1430" i="1"/>
  <c r="C1430" i="1"/>
  <c r="K1429" i="1"/>
  <c r="H1429" i="1"/>
  <c r="G1429" i="1"/>
  <c r="E1429" i="1"/>
  <c r="D1429" i="1"/>
  <c r="C1429" i="1"/>
  <c r="K1428" i="1"/>
  <c r="H1428" i="1"/>
  <c r="G1428" i="1"/>
  <c r="E1428" i="1"/>
  <c r="D1428" i="1"/>
  <c r="C1428" i="1"/>
  <c r="K1427" i="1"/>
  <c r="H1427" i="1"/>
  <c r="G1427" i="1"/>
  <c r="E1427" i="1"/>
  <c r="D1427" i="1"/>
  <c r="C1427" i="1"/>
  <c r="K1426" i="1"/>
  <c r="H1426" i="1"/>
  <c r="G1426" i="1"/>
  <c r="E1426" i="1"/>
  <c r="D1426" i="1"/>
  <c r="C1426" i="1"/>
  <c r="K1425" i="1"/>
  <c r="H1425" i="1"/>
  <c r="G1425" i="1"/>
  <c r="E1425" i="1"/>
  <c r="D1425" i="1"/>
  <c r="C1425" i="1"/>
  <c r="K1424" i="1"/>
  <c r="H1424" i="1"/>
  <c r="G1424" i="1"/>
  <c r="E1424" i="1"/>
  <c r="D1424" i="1"/>
  <c r="C1424" i="1"/>
  <c r="K1423" i="1"/>
  <c r="H1423" i="1"/>
  <c r="G1423" i="1"/>
  <c r="E1423" i="1"/>
  <c r="D1423" i="1"/>
  <c r="C1423" i="1"/>
  <c r="K1422" i="1"/>
  <c r="H1422" i="1"/>
  <c r="G1422" i="1"/>
  <c r="E1422" i="1"/>
  <c r="D1422" i="1"/>
  <c r="C1422" i="1"/>
  <c r="K1421" i="1"/>
  <c r="H1421" i="1"/>
  <c r="G1421" i="1"/>
  <c r="E1421" i="1"/>
  <c r="D1421" i="1"/>
  <c r="C1421" i="1"/>
  <c r="K1420" i="1"/>
  <c r="H1420" i="1"/>
  <c r="G1420" i="1"/>
  <c r="E1420" i="1"/>
  <c r="D1420" i="1"/>
  <c r="C1420" i="1"/>
  <c r="K1419" i="1"/>
  <c r="H1419" i="1"/>
  <c r="G1419" i="1"/>
  <c r="E1419" i="1"/>
  <c r="D1419" i="1"/>
  <c r="C1419" i="1"/>
  <c r="K1418" i="1"/>
  <c r="H1418" i="1"/>
  <c r="G1418" i="1"/>
  <c r="E1418" i="1"/>
  <c r="D1418" i="1"/>
  <c r="C1418" i="1"/>
  <c r="K1417" i="1"/>
  <c r="H1417" i="1"/>
  <c r="G1417" i="1"/>
  <c r="E1417" i="1"/>
  <c r="D1417" i="1"/>
  <c r="C1417" i="1"/>
  <c r="K1416" i="1"/>
  <c r="H1416" i="1"/>
  <c r="G1416" i="1"/>
  <c r="E1416" i="1"/>
  <c r="D1416" i="1"/>
  <c r="C1416" i="1"/>
  <c r="K1415" i="1"/>
  <c r="H1415" i="1"/>
  <c r="G1415" i="1"/>
  <c r="E1415" i="1"/>
  <c r="D1415" i="1"/>
  <c r="C1415" i="1"/>
  <c r="K1414" i="1"/>
  <c r="H1414" i="1"/>
  <c r="G1414" i="1"/>
  <c r="E1414" i="1"/>
  <c r="D1414" i="1"/>
  <c r="C1414" i="1"/>
  <c r="K1413" i="1"/>
  <c r="H1413" i="1"/>
  <c r="G1413" i="1"/>
  <c r="E1413" i="1"/>
  <c r="D1413" i="1"/>
  <c r="C1413" i="1"/>
  <c r="K1412" i="1"/>
  <c r="H1412" i="1"/>
  <c r="G1412" i="1"/>
  <c r="E1412" i="1"/>
  <c r="D1412" i="1"/>
  <c r="C1412" i="1"/>
  <c r="K1411" i="1"/>
  <c r="H1411" i="1"/>
  <c r="G1411" i="1"/>
  <c r="E1411" i="1"/>
  <c r="D1411" i="1"/>
  <c r="C1411" i="1"/>
  <c r="K1410" i="1"/>
  <c r="H1410" i="1"/>
  <c r="G1410" i="1"/>
  <c r="E1410" i="1"/>
  <c r="D1410" i="1"/>
  <c r="C1410" i="1"/>
  <c r="K1409" i="1"/>
  <c r="H1409" i="1"/>
  <c r="G1409" i="1"/>
  <c r="E1409" i="1"/>
  <c r="D1409" i="1"/>
  <c r="C1409" i="1"/>
  <c r="K1408" i="1"/>
  <c r="H1408" i="1"/>
  <c r="G1408" i="1"/>
  <c r="E1408" i="1"/>
  <c r="D1408" i="1"/>
  <c r="C1408" i="1"/>
  <c r="K1407" i="1"/>
  <c r="H1407" i="1"/>
  <c r="G1407" i="1"/>
  <c r="E1407" i="1"/>
  <c r="D1407" i="1"/>
  <c r="C1407" i="1"/>
  <c r="K1406" i="1"/>
  <c r="H1406" i="1"/>
  <c r="G1406" i="1"/>
  <c r="E1406" i="1"/>
  <c r="D1406" i="1"/>
  <c r="C1406" i="1"/>
  <c r="K1405" i="1"/>
  <c r="H1405" i="1"/>
  <c r="G1405" i="1"/>
  <c r="E1405" i="1"/>
  <c r="D1405" i="1"/>
  <c r="C1405" i="1"/>
  <c r="K1404" i="1"/>
  <c r="H1404" i="1"/>
  <c r="G1404" i="1"/>
  <c r="E1404" i="1"/>
  <c r="D1404" i="1"/>
  <c r="C1404" i="1"/>
  <c r="K1403" i="1"/>
  <c r="H1403" i="1"/>
  <c r="G1403" i="1"/>
  <c r="E1403" i="1"/>
  <c r="D1403" i="1"/>
  <c r="C1403" i="1"/>
  <c r="K1402" i="1"/>
  <c r="H1402" i="1"/>
  <c r="G1402" i="1"/>
  <c r="E1402" i="1"/>
  <c r="D1402" i="1"/>
  <c r="C1402" i="1"/>
  <c r="K1401" i="1"/>
  <c r="H1401" i="1"/>
  <c r="G1401" i="1"/>
  <c r="E1401" i="1"/>
  <c r="D1401" i="1"/>
  <c r="C1401" i="1"/>
  <c r="K1400" i="1"/>
  <c r="H1400" i="1"/>
  <c r="G1400" i="1"/>
  <c r="E1400" i="1"/>
  <c r="D1400" i="1"/>
  <c r="C1400" i="1"/>
  <c r="K1399" i="1"/>
  <c r="H1399" i="1"/>
  <c r="G1399" i="1"/>
  <c r="E1399" i="1"/>
  <c r="D1399" i="1"/>
  <c r="C1399" i="1"/>
  <c r="K1398" i="1"/>
  <c r="H1398" i="1"/>
  <c r="G1398" i="1"/>
  <c r="E1398" i="1"/>
  <c r="D1398" i="1"/>
  <c r="C1398" i="1"/>
  <c r="K1397" i="1"/>
  <c r="H1397" i="1"/>
  <c r="G1397" i="1"/>
  <c r="E1397" i="1"/>
  <c r="D1397" i="1"/>
  <c r="C1397" i="1"/>
  <c r="K1396" i="1"/>
  <c r="H1396" i="1"/>
  <c r="G1396" i="1"/>
  <c r="E1396" i="1"/>
  <c r="D1396" i="1"/>
  <c r="C1396" i="1"/>
  <c r="K1395" i="1"/>
  <c r="H1395" i="1"/>
  <c r="G1395" i="1"/>
  <c r="E1395" i="1"/>
  <c r="D1395" i="1"/>
  <c r="C1395" i="1"/>
  <c r="K1394" i="1"/>
  <c r="H1394" i="1"/>
  <c r="G1394" i="1"/>
  <c r="E1394" i="1"/>
  <c r="D1394" i="1"/>
  <c r="C1394" i="1"/>
  <c r="K1393" i="1"/>
  <c r="H1393" i="1"/>
  <c r="G1393" i="1"/>
  <c r="E1393" i="1"/>
  <c r="D1393" i="1"/>
  <c r="C1393" i="1"/>
  <c r="K1392" i="1"/>
  <c r="H1392" i="1"/>
  <c r="G1392" i="1"/>
  <c r="E1392" i="1"/>
  <c r="D1392" i="1"/>
  <c r="C1392" i="1"/>
  <c r="K1391" i="1"/>
  <c r="H1391" i="1"/>
  <c r="G1391" i="1"/>
  <c r="E1391" i="1"/>
  <c r="D1391" i="1"/>
  <c r="C1391" i="1"/>
  <c r="K1390" i="1"/>
  <c r="H1390" i="1"/>
  <c r="G1390" i="1"/>
  <c r="E1390" i="1"/>
  <c r="D1390" i="1"/>
  <c r="C1390" i="1"/>
  <c r="K1389" i="1"/>
  <c r="H1389" i="1"/>
  <c r="G1389" i="1"/>
  <c r="E1389" i="1"/>
  <c r="D1389" i="1"/>
  <c r="C1389" i="1"/>
  <c r="K1388" i="1"/>
  <c r="H1388" i="1"/>
  <c r="G1388" i="1"/>
  <c r="E1388" i="1"/>
  <c r="D1388" i="1"/>
  <c r="C1388" i="1"/>
  <c r="K1387" i="1"/>
  <c r="H1387" i="1"/>
  <c r="G1387" i="1"/>
  <c r="E1387" i="1"/>
  <c r="D1387" i="1"/>
  <c r="C1387" i="1"/>
  <c r="K1386" i="1"/>
  <c r="H1386" i="1"/>
  <c r="G1386" i="1"/>
  <c r="E1386" i="1"/>
  <c r="D1386" i="1"/>
  <c r="C1386" i="1"/>
  <c r="K1385" i="1"/>
  <c r="H1385" i="1"/>
  <c r="G1385" i="1"/>
  <c r="E1385" i="1"/>
  <c r="D1385" i="1"/>
  <c r="C1385" i="1"/>
  <c r="K1384" i="1"/>
  <c r="H1384" i="1"/>
  <c r="G1384" i="1"/>
  <c r="E1384" i="1"/>
  <c r="D1384" i="1"/>
  <c r="C1384" i="1"/>
  <c r="K1383" i="1"/>
  <c r="H1383" i="1"/>
  <c r="G1383" i="1"/>
  <c r="E1383" i="1"/>
  <c r="D1383" i="1"/>
  <c r="C1383" i="1"/>
  <c r="K1382" i="1"/>
  <c r="H1382" i="1"/>
  <c r="G1382" i="1"/>
  <c r="E1382" i="1"/>
  <c r="D1382" i="1"/>
  <c r="C1382" i="1"/>
  <c r="K1381" i="1"/>
  <c r="H1381" i="1"/>
  <c r="G1381" i="1"/>
  <c r="E1381" i="1"/>
  <c r="D1381" i="1"/>
  <c r="C1381" i="1"/>
  <c r="K1380" i="1"/>
  <c r="H1380" i="1"/>
  <c r="G1380" i="1"/>
  <c r="E1380" i="1"/>
  <c r="D1380" i="1"/>
  <c r="C1380" i="1"/>
  <c r="K1379" i="1"/>
  <c r="H1379" i="1"/>
  <c r="G1379" i="1"/>
  <c r="E1379" i="1"/>
  <c r="D1379" i="1"/>
  <c r="C1379" i="1"/>
  <c r="K1378" i="1"/>
  <c r="H1378" i="1"/>
  <c r="G1378" i="1"/>
  <c r="E1378" i="1"/>
  <c r="D1378" i="1"/>
  <c r="C1378" i="1"/>
  <c r="K1377" i="1"/>
  <c r="H1377" i="1"/>
  <c r="G1377" i="1"/>
  <c r="E1377" i="1"/>
  <c r="D1377" i="1"/>
  <c r="C1377" i="1"/>
  <c r="K1376" i="1"/>
  <c r="H1376" i="1"/>
  <c r="G1376" i="1"/>
  <c r="E1376" i="1"/>
  <c r="D1376" i="1"/>
  <c r="C1376" i="1"/>
  <c r="K1375" i="1"/>
  <c r="H1375" i="1"/>
  <c r="G1375" i="1"/>
  <c r="E1375" i="1"/>
  <c r="D1375" i="1"/>
  <c r="C1375" i="1"/>
  <c r="K1374" i="1"/>
  <c r="H1374" i="1"/>
  <c r="G1374" i="1"/>
  <c r="E1374" i="1"/>
  <c r="D1374" i="1"/>
  <c r="C1374" i="1"/>
  <c r="K1373" i="1"/>
  <c r="H1373" i="1"/>
  <c r="G1373" i="1"/>
  <c r="E1373" i="1"/>
  <c r="D1373" i="1"/>
  <c r="C1373" i="1"/>
  <c r="K1372" i="1"/>
  <c r="H1372" i="1"/>
  <c r="G1372" i="1"/>
  <c r="E1372" i="1"/>
  <c r="D1372" i="1"/>
  <c r="C1372" i="1"/>
  <c r="K1371" i="1"/>
  <c r="H1371" i="1"/>
  <c r="G1371" i="1"/>
  <c r="E1371" i="1"/>
  <c r="D1371" i="1"/>
  <c r="C1371" i="1"/>
  <c r="K1370" i="1"/>
  <c r="H1370" i="1"/>
  <c r="G1370" i="1"/>
  <c r="E1370" i="1"/>
  <c r="D1370" i="1"/>
  <c r="C1370" i="1"/>
  <c r="K1369" i="1"/>
  <c r="H1369" i="1"/>
  <c r="G1369" i="1"/>
  <c r="E1369" i="1"/>
  <c r="D1369" i="1"/>
  <c r="C1369" i="1"/>
  <c r="K1368" i="1"/>
  <c r="H1368" i="1"/>
  <c r="G1368" i="1"/>
  <c r="E1368" i="1"/>
  <c r="D1368" i="1"/>
  <c r="C1368" i="1"/>
  <c r="K1367" i="1"/>
  <c r="H1367" i="1"/>
  <c r="G1367" i="1"/>
  <c r="E1367" i="1"/>
  <c r="D1367" i="1"/>
  <c r="C1367" i="1"/>
  <c r="K1366" i="1"/>
  <c r="H1366" i="1"/>
  <c r="G1366" i="1"/>
  <c r="E1366" i="1"/>
  <c r="D1366" i="1"/>
  <c r="C1366" i="1"/>
  <c r="K1365" i="1"/>
  <c r="H1365" i="1"/>
  <c r="G1365" i="1"/>
  <c r="E1365" i="1"/>
  <c r="D1365" i="1"/>
  <c r="C1365" i="1"/>
  <c r="K1364" i="1"/>
  <c r="H1364" i="1"/>
  <c r="G1364" i="1"/>
  <c r="E1364" i="1"/>
  <c r="D1364" i="1"/>
  <c r="C1364" i="1"/>
  <c r="K1363" i="1"/>
  <c r="H1363" i="1"/>
  <c r="G1363" i="1"/>
  <c r="E1363" i="1"/>
  <c r="D1363" i="1"/>
  <c r="C1363" i="1"/>
  <c r="K1362" i="1"/>
  <c r="H1362" i="1"/>
  <c r="G1362" i="1"/>
  <c r="E1362" i="1"/>
  <c r="D1362" i="1"/>
  <c r="C1362" i="1"/>
  <c r="K1361" i="1"/>
  <c r="H1361" i="1"/>
  <c r="G1361" i="1"/>
  <c r="E1361" i="1"/>
  <c r="C1361" i="1"/>
  <c r="K1360" i="1"/>
  <c r="H1360" i="1"/>
  <c r="G1360" i="1"/>
  <c r="E1360" i="1"/>
  <c r="D1360" i="1"/>
  <c r="C1360" i="1"/>
  <c r="K1359" i="1"/>
  <c r="H1359" i="1"/>
  <c r="G1359" i="1"/>
  <c r="E1359" i="1"/>
  <c r="D1359" i="1"/>
  <c r="C1359" i="1"/>
  <c r="K1358" i="1"/>
  <c r="H1358" i="1"/>
  <c r="G1358" i="1"/>
  <c r="E1358" i="1"/>
  <c r="D1358" i="1"/>
  <c r="C1358" i="1"/>
  <c r="K1357" i="1"/>
  <c r="H1357" i="1"/>
  <c r="G1357" i="1"/>
  <c r="E1357" i="1"/>
  <c r="D1357" i="1"/>
  <c r="C1357" i="1"/>
  <c r="K1356" i="1"/>
  <c r="H1356" i="1"/>
  <c r="G1356" i="1"/>
  <c r="E1356" i="1"/>
  <c r="D1356" i="1"/>
  <c r="C1356" i="1"/>
  <c r="K1355" i="1"/>
  <c r="H1355" i="1"/>
  <c r="G1355" i="1"/>
  <c r="E1355" i="1"/>
  <c r="D1355" i="1"/>
  <c r="C1355" i="1"/>
  <c r="K1354" i="1"/>
  <c r="H1354" i="1"/>
  <c r="G1354" i="1"/>
  <c r="E1354" i="1"/>
  <c r="D1354" i="1"/>
  <c r="C1354" i="1"/>
  <c r="K1353" i="1"/>
  <c r="H1353" i="1"/>
  <c r="G1353" i="1"/>
  <c r="E1353" i="1"/>
  <c r="D1353" i="1"/>
  <c r="C1353" i="1"/>
  <c r="K1352" i="1"/>
  <c r="H1352" i="1"/>
  <c r="G1352" i="1"/>
  <c r="E1352" i="1"/>
  <c r="D1352" i="1"/>
  <c r="C1352" i="1"/>
  <c r="K1351" i="1"/>
  <c r="H1351" i="1"/>
  <c r="G1351" i="1"/>
  <c r="E1351" i="1"/>
  <c r="D1351" i="1"/>
  <c r="C1351" i="1"/>
  <c r="K1350" i="1"/>
  <c r="H1350" i="1"/>
  <c r="G1350" i="1"/>
  <c r="E1350" i="1"/>
  <c r="D1350" i="1"/>
  <c r="C1350" i="1"/>
  <c r="K1349" i="1"/>
  <c r="H1349" i="1"/>
  <c r="G1349" i="1"/>
  <c r="E1349" i="1"/>
  <c r="D1349" i="1"/>
  <c r="C1349" i="1"/>
  <c r="K1348" i="1"/>
  <c r="H1348" i="1"/>
  <c r="G1348" i="1"/>
  <c r="E1348" i="1"/>
  <c r="D1348" i="1"/>
  <c r="C1348" i="1"/>
  <c r="K1347" i="1"/>
  <c r="H1347" i="1"/>
  <c r="G1347" i="1"/>
  <c r="E1347" i="1"/>
  <c r="D1347" i="1"/>
  <c r="C1347" i="1"/>
  <c r="K1346" i="1"/>
  <c r="H1346" i="1"/>
  <c r="G1346" i="1"/>
  <c r="E1346" i="1"/>
  <c r="D1346" i="1"/>
  <c r="C1346" i="1"/>
  <c r="K1345" i="1"/>
  <c r="H1345" i="1"/>
  <c r="G1345" i="1"/>
  <c r="E1345" i="1"/>
  <c r="D1345" i="1"/>
  <c r="C1345" i="1"/>
  <c r="K1344" i="1"/>
  <c r="H1344" i="1"/>
  <c r="G1344" i="1"/>
  <c r="E1344" i="1"/>
  <c r="D1344" i="1"/>
  <c r="C1344" i="1"/>
  <c r="K1343" i="1"/>
  <c r="H1343" i="1"/>
  <c r="G1343" i="1"/>
  <c r="E1343" i="1"/>
  <c r="D1343" i="1"/>
  <c r="C1343" i="1"/>
  <c r="K1342" i="1"/>
  <c r="H1342" i="1"/>
  <c r="G1342" i="1"/>
  <c r="E1342" i="1"/>
  <c r="D1342" i="1"/>
  <c r="C1342" i="1"/>
  <c r="K1341" i="1"/>
  <c r="H1341" i="1"/>
  <c r="G1341" i="1"/>
  <c r="E1341" i="1"/>
  <c r="D1341" i="1"/>
  <c r="C1341" i="1"/>
  <c r="K1340" i="1"/>
  <c r="H1340" i="1"/>
  <c r="G1340" i="1"/>
  <c r="E1340" i="1"/>
  <c r="D1340" i="1"/>
  <c r="C1340" i="1"/>
  <c r="K1339" i="1"/>
  <c r="H1339" i="1"/>
  <c r="G1339" i="1"/>
  <c r="E1339" i="1"/>
  <c r="D1339" i="1"/>
  <c r="C1339" i="1"/>
  <c r="K1338" i="1"/>
  <c r="H1338" i="1"/>
  <c r="G1338" i="1"/>
  <c r="E1338" i="1"/>
  <c r="D1338" i="1"/>
  <c r="C1338" i="1"/>
  <c r="K1337" i="1"/>
  <c r="H1337" i="1"/>
  <c r="G1337" i="1"/>
  <c r="E1337" i="1"/>
  <c r="D1337" i="1"/>
  <c r="C1337" i="1"/>
  <c r="K1336" i="1"/>
  <c r="H1336" i="1"/>
  <c r="G1336" i="1"/>
  <c r="E1336" i="1"/>
  <c r="D1336" i="1"/>
  <c r="C1336" i="1"/>
  <c r="K1335" i="1"/>
  <c r="H1335" i="1"/>
  <c r="G1335" i="1"/>
  <c r="E1335" i="1"/>
  <c r="D1335" i="1"/>
  <c r="C1335" i="1"/>
  <c r="K1334" i="1"/>
  <c r="H1334" i="1"/>
  <c r="G1334" i="1"/>
  <c r="E1334" i="1"/>
  <c r="D1334" i="1"/>
  <c r="C1334" i="1"/>
  <c r="K1333" i="1"/>
  <c r="H1333" i="1"/>
  <c r="G1333" i="1"/>
  <c r="E1333" i="1"/>
  <c r="D1333" i="1"/>
  <c r="C1333" i="1"/>
  <c r="K1332" i="1"/>
  <c r="H1332" i="1"/>
  <c r="G1332" i="1"/>
  <c r="E1332" i="1"/>
  <c r="D1332" i="1"/>
  <c r="C1332" i="1"/>
  <c r="K1331" i="1"/>
  <c r="H1331" i="1"/>
  <c r="G1331" i="1"/>
  <c r="E1331" i="1"/>
  <c r="D1331" i="1"/>
  <c r="C1331" i="1"/>
  <c r="K1330" i="1"/>
  <c r="H1330" i="1"/>
  <c r="G1330" i="1"/>
  <c r="E1330" i="1"/>
  <c r="D1330" i="1"/>
  <c r="C1330" i="1"/>
  <c r="K1329" i="1"/>
  <c r="H1329" i="1"/>
  <c r="G1329" i="1"/>
  <c r="E1329" i="1"/>
  <c r="D1329" i="1"/>
  <c r="C1329" i="1"/>
  <c r="K1328" i="1"/>
  <c r="H1328" i="1"/>
  <c r="G1328" i="1"/>
  <c r="E1328" i="1"/>
  <c r="D1328" i="1"/>
  <c r="C1328" i="1"/>
  <c r="K1327" i="1"/>
  <c r="H1327" i="1"/>
  <c r="G1327" i="1"/>
  <c r="E1327" i="1"/>
  <c r="D1327" i="1"/>
  <c r="C1327" i="1"/>
  <c r="K1326" i="1"/>
  <c r="H1326" i="1"/>
  <c r="G1326" i="1"/>
  <c r="E1326" i="1"/>
  <c r="D1326" i="1"/>
  <c r="C1326" i="1"/>
  <c r="K1325" i="1"/>
  <c r="H1325" i="1"/>
  <c r="G1325" i="1"/>
  <c r="E1325" i="1"/>
  <c r="D1325" i="1"/>
  <c r="C1325" i="1"/>
  <c r="K1324" i="1"/>
  <c r="H1324" i="1"/>
  <c r="G1324" i="1"/>
  <c r="E1324" i="1"/>
  <c r="D1324" i="1"/>
  <c r="C1324" i="1"/>
  <c r="K1323" i="1"/>
  <c r="H1323" i="1"/>
  <c r="G1323" i="1"/>
  <c r="E1323" i="1"/>
  <c r="D1323" i="1"/>
  <c r="C1323" i="1"/>
  <c r="K1322" i="1"/>
  <c r="H1322" i="1"/>
  <c r="G1322" i="1"/>
  <c r="E1322" i="1"/>
  <c r="D1322" i="1"/>
  <c r="C1322" i="1"/>
  <c r="K1321" i="1"/>
  <c r="H1321" i="1"/>
  <c r="G1321" i="1"/>
  <c r="E1321" i="1"/>
  <c r="D1321" i="1"/>
  <c r="C1321" i="1"/>
  <c r="K1320" i="1"/>
  <c r="H1320" i="1"/>
  <c r="G1320" i="1"/>
  <c r="E1320" i="1"/>
  <c r="D1320" i="1"/>
  <c r="C1320" i="1"/>
  <c r="K1319" i="1"/>
  <c r="H1319" i="1"/>
  <c r="G1319" i="1"/>
  <c r="E1319" i="1"/>
  <c r="D1319" i="1"/>
  <c r="C1319" i="1"/>
  <c r="K1318" i="1"/>
  <c r="H1318" i="1"/>
  <c r="G1318" i="1"/>
  <c r="E1318" i="1"/>
  <c r="D1318" i="1"/>
  <c r="C1318" i="1"/>
  <c r="K1317" i="1"/>
  <c r="H1317" i="1"/>
  <c r="G1317" i="1"/>
  <c r="E1317" i="1"/>
  <c r="D1317" i="1"/>
  <c r="C1317" i="1"/>
  <c r="K1316" i="1"/>
  <c r="H1316" i="1"/>
  <c r="G1316" i="1"/>
  <c r="E1316" i="1"/>
  <c r="D1316" i="1"/>
  <c r="C1316" i="1"/>
  <c r="K1315" i="1"/>
  <c r="H1315" i="1"/>
  <c r="G1315" i="1"/>
  <c r="E1315" i="1"/>
  <c r="D1315" i="1"/>
  <c r="C1315" i="1"/>
  <c r="K1314" i="1"/>
  <c r="H1314" i="1"/>
  <c r="G1314" i="1"/>
  <c r="E1314" i="1"/>
  <c r="D1314" i="1"/>
  <c r="C1314" i="1"/>
  <c r="K1313" i="1"/>
  <c r="H1313" i="1"/>
  <c r="G1313" i="1"/>
  <c r="E1313" i="1"/>
  <c r="D1313" i="1"/>
  <c r="C1313" i="1"/>
  <c r="K1312" i="1"/>
  <c r="H1312" i="1"/>
  <c r="G1312" i="1"/>
  <c r="E1312" i="1"/>
  <c r="D1312" i="1"/>
  <c r="C1312" i="1"/>
  <c r="K1311" i="1"/>
  <c r="H1311" i="1"/>
  <c r="G1311" i="1"/>
  <c r="E1311" i="1"/>
  <c r="D1311" i="1"/>
  <c r="C1311" i="1"/>
  <c r="K1310" i="1"/>
  <c r="H1310" i="1"/>
  <c r="G1310" i="1"/>
  <c r="E1310" i="1"/>
  <c r="D1310" i="1"/>
  <c r="C1310" i="1"/>
  <c r="K1309" i="1"/>
  <c r="H1309" i="1"/>
  <c r="G1309" i="1"/>
  <c r="E1309" i="1"/>
  <c r="D1309" i="1"/>
  <c r="C1309" i="1"/>
  <c r="K1308" i="1"/>
  <c r="H1308" i="1"/>
  <c r="G1308" i="1"/>
  <c r="E1308" i="1"/>
  <c r="D1308" i="1"/>
  <c r="C1308" i="1"/>
  <c r="K1307" i="1"/>
  <c r="H1307" i="1"/>
  <c r="G1307" i="1"/>
  <c r="E1307" i="1"/>
  <c r="D1307" i="1"/>
  <c r="C1307" i="1"/>
  <c r="K1306" i="1"/>
  <c r="H1306" i="1"/>
  <c r="G1306" i="1"/>
  <c r="E1306" i="1"/>
  <c r="D1306" i="1"/>
  <c r="C1306" i="1"/>
  <c r="K1305" i="1"/>
  <c r="H1305" i="1"/>
  <c r="G1305" i="1"/>
  <c r="E1305" i="1"/>
  <c r="D1305" i="1"/>
  <c r="C1305" i="1"/>
  <c r="K1304" i="1"/>
  <c r="H1304" i="1"/>
  <c r="G1304" i="1"/>
  <c r="E1304" i="1"/>
  <c r="D1304" i="1"/>
  <c r="C1304" i="1"/>
  <c r="K1303" i="1"/>
  <c r="H1303" i="1"/>
  <c r="G1303" i="1"/>
  <c r="E1303" i="1"/>
  <c r="D1303" i="1"/>
  <c r="C1303" i="1"/>
  <c r="K1302" i="1"/>
  <c r="H1302" i="1"/>
  <c r="G1302" i="1"/>
  <c r="E1302" i="1"/>
  <c r="D1302" i="1"/>
  <c r="C1302" i="1"/>
  <c r="K1301" i="1"/>
  <c r="H1301" i="1"/>
  <c r="G1301" i="1"/>
  <c r="E1301" i="1"/>
  <c r="D1301" i="1"/>
  <c r="C1301" i="1"/>
  <c r="K1300" i="1"/>
  <c r="H1300" i="1"/>
  <c r="G1300" i="1"/>
  <c r="E1300" i="1"/>
  <c r="D1300" i="1"/>
  <c r="C1300" i="1"/>
  <c r="K1299" i="1"/>
  <c r="H1299" i="1"/>
  <c r="G1299" i="1"/>
  <c r="E1299" i="1"/>
  <c r="D1299" i="1"/>
  <c r="C1299" i="1"/>
  <c r="K1298" i="1"/>
  <c r="H1298" i="1"/>
  <c r="G1298" i="1"/>
  <c r="E1298" i="1"/>
  <c r="D1298" i="1"/>
  <c r="C1298" i="1"/>
  <c r="K1297" i="1"/>
  <c r="H1297" i="1"/>
  <c r="G1297" i="1"/>
  <c r="E1297" i="1"/>
  <c r="D1297" i="1"/>
  <c r="C1297" i="1"/>
  <c r="K1296" i="1"/>
  <c r="H1296" i="1"/>
  <c r="G1296" i="1"/>
  <c r="E1296" i="1"/>
  <c r="D1296" i="1"/>
  <c r="C1296" i="1"/>
  <c r="K1295" i="1"/>
  <c r="H1295" i="1"/>
  <c r="G1295" i="1"/>
  <c r="E1295" i="1"/>
  <c r="D1295" i="1"/>
  <c r="C1295" i="1"/>
  <c r="K1294" i="1"/>
  <c r="H1294" i="1"/>
  <c r="G1294" i="1"/>
  <c r="E1294" i="1"/>
  <c r="D1294" i="1"/>
  <c r="C1294" i="1"/>
  <c r="K1293" i="1"/>
  <c r="H1293" i="1"/>
  <c r="G1293" i="1"/>
  <c r="E1293" i="1"/>
  <c r="D1293" i="1"/>
  <c r="C1293" i="1"/>
  <c r="K1292" i="1"/>
  <c r="H1292" i="1"/>
  <c r="G1292" i="1"/>
  <c r="E1292" i="1"/>
  <c r="D1292" i="1"/>
  <c r="C1292" i="1"/>
  <c r="K1291" i="1"/>
  <c r="H1291" i="1"/>
  <c r="G1291" i="1"/>
  <c r="E1291" i="1"/>
  <c r="D1291" i="1"/>
  <c r="C1291" i="1"/>
  <c r="K1290" i="1"/>
  <c r="H1290" i="1"/>
  <c r="G1290" i="1"/>
  <c r="E1290" i="1"/>
  <c r="D1290" i="1"/>
  <c r="C1290" i="1"/>
  <c r="K1289" i="1"/>
  <c r="H1289" i="1"/>
  <c r="G1289" i="1"/>
  <c r="E1289" i="1"/>
  <c r="D1289" i="1"/>
  <c r="C1289" i="1"/>
  <c r="K1288" i="1"/>
  <c r="H1288" i="1"/>
  <c r="G1288" i="1"/>
  <c r="E1288" i="1"/>
  <c r="D1288" i="1"/>
  <c r="C1288" i="1"/>
  <c r="K1287" i="1"/>
  <c r="H1287" i="1"/>
  <c r="G1287" i="1"/>
  <c r="E1287" i="1"/>
  <c r="D1287" i="1"/>
  <c r="C1287" i="1"/>
  <c r="K1286" i="1"/>
  <c r="H1286" i="1"/>
  <c r="G1286" i="1"/>
  <c r="E1286" i="1"/>
  <c r="D1286" i="1"/>
  <c r="C1286" i="1"/>
  <c r="K1285" i="1"/>
  <c r="H1285" i="1"/>
  <c r="G1285" i="1"/>
  <c r="E1285" i="1"/>
  <c r="D1285" i="1"/>
  <c r="C1285" i="1"/>
  <c r="K1284" i="1"/>
  <c r="H1284" i="1"/>
  <c r="G1284" i="1"/>
  <c r="E1284" i="1"/>
  <c r="D1284" i="1"/>
  <c r="C1284" i="1"/>
  <c r="K1283" i="1"/>
  <c r="H1283" i="1"/>
  <c r="G1283" i="1"/>
  <c r="E1283" i="1"/>
  <c r="D1283" i="1"/>
  <c r="C1283" i="1"/>
  <c r="K1282" i="1"/>
  <c r="H1282" i="1"/>
  <c r="G1282" i="1"/>
  <c r="E1282" i="1"/>
  <c r="D1282" i="1"/>
  <c r="C1282" i="1"/>
  <c r="K1281" i="1"/>
  <c r="H1281" i="1"/>
  <c r="G1281" i="1"/>
  <c r="E1281" i="1"/>
  <c r="D1281" i="1"/>
  <c r="C1281" i="1"/>
  <c r="K1280" i="1"/>
  <c r="H1280" i="1"/>
  <c r="G1280" i="1"/>
  <c r="E1280" i="1"/>
  <c r="D1280" i="1"/>
  <c r="C1280" i="1"/>
  <c r="K1279" i="1"/>
  <c r="H1279" i="1"/>
  <c r="G1279" i="1"/>
  <c r="E1279" i="1"/>
  <c r="D1279" i="1"/>
  <c r="C1279" i="1"/>
  <c r="K1278" i="1"/>
  <c r="H1278" i="1"/>
  <c r="G1278" i="1"/>
  <c r="E1278" i="1"/>
  <c r="D1278" i="1"/>
  <c r="C1278" i="1"/>
  <c r="K1277" i="1"/>
  <c r="H1277" i="1"/>
  <c r="G1277" i="1"/>
  <c r="E1277" i="1"/>
  <c r="D1277" i="1"/>
  <c r="C1277" i="1"/>
  <c r="K1276" i="1"/>
  <c r="H1276" i="1"/>
  <c r="G1276" i="1"/>
  <c r="E1276" i="1"/>
  <c r="D1276" i="1"/>
  <c r="C1276" i="1"/>
  <c r="K1275" i="1"/>
  <c r="H1275" i="1"/>
  <c r="G1275" i="1"/>
  <c r="E1275" i="1"/>
  <c r="D1275" i="1"/>
  <c r="C1275" i="1"/>
  <c r="K1274" i="1"/>
  <c r="H1274" i="1"/>
  <c r="G1274" i="1"/>
  <c r="E1274" i="1"/>
  <c r="D1274" i="1"/>
  <c r="C1274" i="1"/>
  <c r="K1273" i="1"/>
  <c r="H1273" i="1"/>
  <c r="G1273" i="1"/>
  <c r="E1273" i="1"/>
  <c r="D1273" i="1"/>
  <c r="C1273" i="1"/>
  <c r="K1272" i="1"/>
  <c r="H1272" i="1"/>
  <c r="G1272" i="1"/>
  <c r="E1272" i="1"/>
  <c r="D1272" i="1"/>
  <c r="C1272" i="1"/>
  <c r="K1271" i="1"/>
  <c r="H1271" i="1"/>
  <c r="G1271" i="1"/>
  <c r="E1271" i="1"/>
  <c r="D1271" i="1"/>
  <c r="C1271" i="1"/>
  <c r="K1270" i="1"/>
  <c r="H1270" i="1"/>
  <c r="G1270" i="1"/>
  <c r="E1270" i="1"/>
  <c r="D1270" i="1"/>
  <c r="C1270" i="1"/>
  <c r="K1269" i="1"/>
  <c r="H1269" i="1"/>
  <c r="G1269" i="1"/>
  <c r="E1269" i="1"/>
  <c r="D1269" i="1"/>
  <c r="C1269" i="1"/>
  <c r="K1268" i="1"/>
  <c r="H1268" i="1"/>
  <c r="G1268" i="1"/>
  <c r="E1268" i="1"/>
  <c r="D1268" i="1"/>
  <c r="C1268" i="1"/>
  <c r="K1267" i="1"/>
  <c r="H1267" i="1"/>
  <c r="G1267" i="1"/>
  <c r="E1267" i="1"/>
  <c r="D1267" i="1"/>
  <c r="C1267" i="1"/>
  <c r="K1266" i="1"/>
  <c r="H1266" i="1"/>
  <c r="G1266" i="1"/>
  <c r="E1266" i="1"/>
  <c r="D1266" i="1"/>
  <c r="C1266" i="1"/>
  <c r="K1265" i="1"/>
  <c r="H1265" i="1"/>
  <c r="G1265" i="1"/>
  <c r="E1265" i="1"/>
  <c r="D1265" i="1"/>
  <c r="C1265" i="1"/>
  <c r="K1264" i="1"/>
  <c r="H1264" i="1"/>
  <c r="G1264" i="1"/>
  <c r="E1264" i="1"/>
  <c r="D1264" i="1"/>
  <c r="C1264" i="1"/>
  <c r="K1263" i="1"/>
  <c r="H1263" i="1"/>
  <c r="G1263" i="1"/>
  <c r="E1263" i="1"/>
  <c r="D1263" i="1"/>
  <c r="C1263" i="1"/>
  <c r="K1262" i="1"/>
  <c r="H1262" i="1"/>
  <c r="G1262" i="1"/>
  <c r="E1262" i="1"/>
  <c r="D1262" i="1"/>
  <c r="C1262" i="1"/>
  <c r="K1261" i="1"/>
  <c r="H1261" i="1"/>
  <c r="G1261" i="1"/>
  <c r="E1261" i="1"/>
  <c r="D1261" i="1"/>
  <c r="C1261" i="1"/>
  <c r="K1260" i="1"/>
  <c r="H1260" i="1"/>
  <c r="G1260" i="1"/>
  <c r="E1260" i="1"/>
  <c r="D1260" i="1"/>
  <c r="C1260" i="1"/>
  <c r="K1259" i="1"/>
  <c r="H1259" i="1"/>
  <c r="G1259" i="1"/>
  <c r="E1259" i="1"/>
  <c r="D1259" i="1"/>
  <c r="C1259" i="1"/>
  <c r="K1258" i="1"/>
  <c r="H1258" i="1"/>
  <c r="G1258" i="1"/>
  <c r="E1258" i="1"/>
  <c r="D1258" i="1"/>
  <c r="C1258" i="1"/>
  <c r="K1257" i="1"/>
  <c r="H1257" i="1"/>
  <c r="G1257" i="1"/>
  <c r="E1257" i="1"/>
  <c r="D1257" i="1"/>
  <c r="C1257" i="1"/>
  <c r="K1256" i="1"/>
  <c r="H1256" i="1"/>
  <c r="G1256" i="1"/>
  <c r="E1256" i="1"/>
  <c r="D1256" i="1"/>
  <c r="C1256" i="1"/>
  <c r="K1255" i="1"/>
  <c r="H1255" i="1"/>
  <c r="G1255" i="1"/>
  <c r="E1255" i="1"/>
  <c r="D1255" i="1"/>
  <c r="C1255" i="1"/>
  <c r="K1254" i="1"/>
  <c r="H1254" i="1"/>
  <c r="G1254" i="1"/>
  <c r="E1254" i="1"/>
  <c r="D1254" i="1"/>
  <c r="C1254" i="1"/>
  <c r="K1253" i="1"/>
  <c r="H1253" i="1"/>
  <c r="G1253" i="1"/>
  <c r="E1253" i="1"/>
  <c r="D1253" i="1"/>
  <c r="C1253" i="1"/>
  <c r="K1252" i="1"/>
  <c r="H1252" i="1"/>
  <c r="G1252" i="1"/>
  <c r="E1252" i="1"/>
  <c r="D1252" i="1"/>
  <c r="C1252" i="1"/>
  <c r="K1251" i="1"/>
  <c r="H1251" i="1"/>
  <c r="G1251" i="1"/>
  <c r="E1251" i="1"/>
  <c r="D1251" i="1"/>
  <c r="C1251" i="1"/>
  <c r="K1250" i="1"/>
  <c r="H1250" i="1"/>
  <c r="G1250" i="1"/>
  <c r="E1250" i="1"/>
  <c r="D1250" i="1"/>
  <c r="C1250" i="1"/>
  <c r="K1249" i="1"/>
  <c r="H1249" i="1"/>
  <c r="G1249" i="1"/>
  <c r="E1249" i="1"/>
  <c r="D1249" i="1"/>
  <c r="C1249" i="1"/>
  <c r="K1248" i="1"/>
  <c r="H1248" i="1"/>
  <c r="G1248" i="1"/>
  <c r="E1248" i="1"/>
  <c r="D1248" i="1"/>
  <c r="C1248" i="1"/>
  <c r="K1247" i="1"/>
  <c r="H1247" i="1"/>
  <c r="G1247" i="1"/>
  <c r="E1247" i="1"/>
  <c r="D1247" i="1"/>
  <c r="C1247" i="1"/>
  <c r="K1246" i="1"/>
  <c r="H1246" i="1"/>
  <c r="G1246" i="1"/>
  <c r="E1246" i="1"/>
  <c r="D1246" i="1"/>
  <c r="C1246" i="1"/>
  <c r="K1245" i="1"/>
  <c r="H1245" i="1"/>
  <c r="G1245" i="1"/>
  <c r="E1245" i="1"/>
  <c r="D1245" i="1"/>
  <c r="C1245" i="1"/>
  <c r="K1244" i="1"/>
  <c r="H1244" i="1"/>
  <c r="G1244" i="1"/>
  <c r="E1244" i="1"/>
  <c r="D1244" i="1"/>
  <c r="C1244" i="1"/>
  <c r="K1243" i="1"/>
  <c r="H1243" i="1"/>
  <c r="G1243" i="1"/>
  <c r="E1243" i="1"/>
  <c r="D1243" i="1"/>
  <c r="C1243" i="1"/>
  <c r="K1242" i="1"/>
  <c r="H1242" i="1"/>
  <c r="G1242" i="1"/>
  <c r="E1242" i="1"/>
  <c r="D1242" i="1"/>
  <c r="C1242" i="1"/>
  <c r="K1241" i="1"/>
  <c r="H1241" i="1"/>
  <c r="G1241" i="1"/>
  <c r="E1241" i="1"/>
  <c r="D1241" i="1"/>
  <c r="C1241" i="1"/>
  <c r="K1240" i="1"/>
  <c r="H1240" i="1"/>
  <c r="G1240" i="1"/>
  <c r="E1240" i="1"/>
  <c r="D1240" i="1"/>
  <c r="C1240" i="1"/>
  <c r="K1239" i="1"/>
  <c r="H1239" i="1"/>
  <c r="G1239" i="1"/>
  <c r="E1239" i="1"/>
  <c r="D1239" i="1"/>
  <c r="C1239" i="1"/>
  <c r="K1238" i="1"/>
  <c r="H1238" i="1"/>
  <c r="G1238" i="1"/>
  <c r="E1238" i="1"/>
  <c r="D1238" i="1"/>
  <c r="C1238" i="1"/>
  <c r="K1237" i="1"/>
  <c r="H1237" i="1"/>
  <c r="G1237" i="1"/>
  <c r="E1237" i="1"/>
  <c r="D1237" i="1"/>
  <c r="C1237" i="1"/>
  <c r="K1236" i="1"/>
  <c r="H1236" i="1"/>
  <c r="G1236" i="1"/>
  <c r="E1236" i="1"/>
  <c r="D1236" i="1"/>
  <c r="C1236" i="1"/>
  <c r="K1235" i="1"/>
  <c r="H1235" i="1"/>
  <c r="G1235" i="1"/>
  <c r="E1235" i="1"/>
  <c r="D1235" i="1"/>
  <c r="C1235" i="1"/>
  <c r="K1234" i="1"/>
  <c r="H1234" i="1"/>
  <c r="G1234" i="1"/>
  <c r="E1234" i="1"/>
  <c r="D1234" i="1"/>
  <c r="C1234" i="1"/>
  <c r="K1233" i="1"/>
  <c r="H1233" i="1"/>
  <c r="G1233" i="1"/>
  <c r="E1233" i="1"/>
  <c r="D1233" i="1"/>
  <c r="C1233" i="1"/>
  <c r="K1232" i="1"/>
  <c r="H1232" i="1"/>
  <c r="G1232" i="1"/>
  <c r="E1232" i="1"/>
  <c r="D1232" i="1"/>
  <c r="C1232" i="1"/>
  <c r="K1231" i="1"/>
  <c r="H1231" i="1"/>
  <c r="G1231" i="1"/>
  <c r="E1231" i="1"/>
  <c r="D1231" i="1"/>
  <c r="C1231" i="1"/>
  <c r="K1230" i="1"/>
  <c r="H1230" i="1"/>
  <c r="G1230" i="1"/>
  <c r="E1230" i="1"/>
  <c r="D1230" i="1"/>
  <c r="C1230" i="1"/>
  <c r="K1229" i="1"/>
  <c r="H1229" i="1"/>
  <c r="G1229" i="1"/>
  <c r="E1229" i="1"/>
  <c r="D1229" i="1"/>
  <c r="C1229" i="1"/>
  <c r="K1228" i="1"/>
  <c r="H1228" i="1"/>
  <c r="G1228" i="1"/>
  <c r="E1228" i="1"/>
  <c r="D1228" i="1"/>
  <c r="C1228" i="1"/>
  <c r="K1227" i="1"/>
  <c r="H1227" i="1"/>
  <c r="G1227" i="1"/>
  <c r="E1227" i="1"/>
  <c r="D1227" i="1"/>
  <c r="C1227" i="1"/>
  <c r="K1226" i="1"/>
  <c r="H1226" i="1"/>
  <c r="G1226" i="1"/>
  <c r="E1226" i="1"/>
  <c r="D1226" i="1"/>
  <c r="C1226" i="1"/>
  <c r="K1225" i="1"/>
  <c r="H1225" i="1"/>
  <c r="G1225" i="1"/>
  <c r="E1225" i="1"/>
  <c r="D1225" i="1"/>
  <c r="C1225" i="1"/>
  <c r="K1224" i="1"/>
  <c r="H1224" i="1"/>
  <c r="G1224" i="1"/>
  <c r="E1224" i="1"/>
  <c r="D1224" i="1"/>
  <c r="C1224" i="1"/>
  <c r="K1223" i="1"/>
  <c r="H1223" i="1"/>
  <c r="G1223" i="1"/>
  <c r="E1223" i="1"/>
  <c r="D1223" i="1"/>
  <c r="C1223" i="1"/>
  <c r="K1222" i="1"/>
  <c r="H1222" i="1"/>
  <c r="G1222" i="1"/>
  <c r="E1222" i="1"/>
  <c r="D1222" i="1"/>
  <c r="C1222" i="1"/>
  <c r="K1221" i="1"/>
  <c r="H1221" i="1"/>
  <c r="G1221" i="1"/>
  <c r="E1221" i="1"/>
  <c r="D1221" i="1"/>
  <c r="C1221" i="1"/>
  <c r="K1220" i="1"/>
  <c r="H1220" i="1"/>
  <c r="G1220" i="1"/>
  <c r="E1220" i="1"/>
  <c r="D1220" i="1"/>
  <c r="C1220" i="1"/>
  <c r="K1219" i="1"/>
  <c r="H1219" i="1"/>
  <c r="G1219" i="1"/>
  <c r="E1219" i="1"/>
  <c r="D1219" i="1"/>
  <c r="C1219" i="1"/>
  <c r="K1218" i="1"/>
  <c r="H1218" i="1"/>
  <c r="G1218" i="1"/>
  <c r="E1218" i="1"/>
  <c r="D1218" i="1"/>
  <c r="C1218" i="1"/>
  <c r="K1217" i="1"/>
  <c r="H1217" i="1"/>
  <c r="G1217" i="1"/>
  <c r="E1217" i="1"/>
  <c r="D1217" i="1"/>
  <c r="C1217" i="1"/>
  <c r="K1216" i="1"/>
  <c r="H1216" i="1"/>
  <c r="G1216" i="1"/>
  <c r="E1216" i="1"/>
  <c r="D1216" i="1"/>
  <c r="C1216" i="1"/>
  <c r="K1215" i="1"/>
  <c r="H1215" i="1"/>
  <c r="G1215" i="1"/>
  <c r="E1215" i="1"/>
  <c r="D1215" i="1"/>
  <c r="C1215" i="1"/>
  <c r="K1214" i="1"/>
  <c r="H1214" i="1"/>
  <c r="G1214" i="1"/>
  <c r="E1214" i="1"/>
  <c r="D1214" i="1"/>
  <c r="C1214" i="1"/>
  <c r="K1213" i="1"/>
  <c r="H1213" i="1"/>
  <c r="G1213" i="1"/>
  <c r="E1213" i="1"/>
  <c r="D1213" i="1"/>
  <c r="C1213" i="1"/>
  <c r="K1212" i="1"/>
  <c r="H1212" i="1"/>
  <c r="G1212" i="1"/>
  <c r="E1212" i="1"/>
  <c r="D1212" i="1"/>
  <c r="C1212" i="1"/>
  <c r="K1211" i="1"/>
  <c r="H1211" i="1"/>
  <c r="G1211" i="1"/>
  <c r="E1211" i="1"/>
  <c r="D1211" i="1"/>
  <c r="C1211" i="1"/>
  <c r="K1210" i="1"/>
  <c r="H1210" i="1"/>
  <c r="G1210" i="1"/>
  <c r="E1210" i="1"/>
  <c r="D1210" i="1"/>
  <c r="C1210" i="1"/>
  <c r="K1209" i="1"/>
  <c r="H1209" i="1"/>
  <c r="G1209" i="1"/>
  <c r="E1209" i="1"/>
  <c r="D1209" i="1"/>
  <c r="C1209" i="1"/>
  <c r="K1208" i="1"/>
  <c r="H1208" i="1"/>
  <c r="G1208" i="1"/>
  <c r="E1208" i="1"/>
  <c r="D1208" i="1"/>
  <c r="C1208" i="1"/>
  <c r="K1207" i="1"/>
  <c r="H1207" i="1"/>
  <c r="G1207" i="1"/>
  <c r="E1207" i="1"/>
  <c r="D1207" i="1"/>
  <c r="C1207" i="1"/>
  <c r="K1206" i="1"/>
  <c r="H1206" i="1"/>
  <c r="G1206" i="1"/>
  <c r="E1206" i="1"/>
  <c r="D1206" i="1"/>
  <c r="C1206" i="1"/>
  <c r="K1205" i="1"/>
  <c r="H1205" i="1"/>
  <c r="G1205" i="1"/>
  <c r="E1205" i="1"/>
  <c r="D1205" i="1"/>
  <c r="C1205" i="1"/>
  <c r="K1204" i="1"/>
  <c r="H1204" i="1"/>
  <c r="G1204" i="1"/>
  <c r="E1204" i="1"/>
  <c r="D1204" i="1"/>
  <c r="C1204" i="1"/>
  <c r="K1203" i="1"/>
  <c r="H1203" i="1"/>
  <c r="G1203" i="1"/>
  <c r="E1203" i="1"/>
  <c r="D1203" i="1"/>
  <c r="C1203" i="1"/>
  <c r="K1202" i="1"/>
  <c r="H1202" i="1"/>
  <c r="G1202" i="1"/>
  <c r="E1202" i="1"/>
  <c r="D1202" i="1"/>
  <c r="C1202" i="1"/>
  <c r="K1201" i="1"/>
  <c r="H1201" i="1"/>
  <c r="G1201" i="1"/>
  <c r="E1201" i="1"/>
  <c r="D1201" i="1"/>
  <c r="C1201" i="1"/>
  <c r="K1200" i="1"/>
  <c r="H1200" i="1"/>
  <c r="G1200" i="1"/>
  <c r="E1200" i="1"/>
  <c r="D1200" i="1"/>
  <c r="C1200" i="1"/>
  <c r="K1199" i="1"/>
  <c r="H1199" i="1"/>
  <c r="G1199" i="1"/>
  <c r="E1199" i="1"/>
  <c r="D1199" i="1"/>
  <c r="C1199" i="1"/>
  <c r="K1198" i="1"/>
  <c r="H1198" i="1"/>
  <c r="G1198" i="1"/>
  <c r="E1198" i="1"/>
  <c r="D1198" i="1"/>
  <c r="C1198" i="1"/>
  <c r="K1197" i="1"/>
  <c r="H1197" i="1"/>
  <c r="G1197" i="1"/>
  <c r="E1197" i="1"/>
  <c r="D1197" i="1"/>
  <c r="C1197" i="1"/>
  <c r="K1196" i="1"/>
  <c r="H1196" i="1"/>
  <c r="G1196" i="1"/>
  <c r="E1196" i="1"/>
  <c r="D1196" i="1"/>
  <c r="C1196" i="1"/>
  <c r="K1195" i="1"/>
  <c r="H1195" i="1"/>
  <c r="G1195" i="1"/>
  <c r="E1195" i="1"/>
  <c r="D1195" i="1"/>
  <c r="C1195" i="1"/>
  <c r="K1194" i="1"/>
  <c r="H1194" i="1"/>
  <c r="G1194" i="1"/>
  <c r="E1194" i="1"/>
  <c r="D1194" i="1"/>
  <c r="C1194" i="1"/>
  <c r="K1193" i="1"/>
  <c r="H1193" i="1"/>
  <c r="G1193" i="1"/>
  <c r="E1193" i="1"/>
  <c r="D1193" i="1"/>
  <c r="C1193" i="1"/>
  <c r="K1192" i="1"/>
  <c r="H1192" i="1"/>
  <c r="G1192" i="1"/>
  <c r="E1192" i="1"/>
  <c r="D1192" i="1"/>
  <c r="C1192" i="1"/>
  <c r="K1191" i="1"/>
  <c r="H1191" i="1"/>
  <c r="G1191" i="1"/>
  <c r="E1191" i="1"/>
  <c r="D1191" i="1"/>
  <c r="C1191" i="1"/>
  <c r="K1190" i="1"/>
  <c r="H1190" i="1"/>
  <c r="G1190" i="1"/>
  <c r="E1190" i="1"/>
  <c r="D1190" i="1"/>
  <c r="C1190" i="1"/>
  <c r="K1189" i="1"/>
  <c r="H1189" i="1"/>
  <c r="G1189" i="1"/>
  <c r="E1189" i="1"/>
  <c r="D1189" i="1"/>
  <c r="C1189" i="1"/>
  <c r="K1188" i="1"/>
  <c r="H1188" i="1"/>
  <c r="G1188" i="1"/>
  <c r="E1188" i="1"/>
  <c r="D1188" i="1"/>
  <c r="C1188" i="1"/>
  <c r="K1187" i="1"/>
  <c r="H1187" i="1"/>
  <c r="G1187" i="1"/>
  <c r="E1187" i="1"/>
  <c r="D1187" i="1"/>
  <c r="C1187" i="1"/>
  <c r="K1186" i="1"/>
  <c r="H1186" i="1"/>
  <c r="G1186" i="1"/>
  <c r="E1186" i="1"/>
  <c r="D1186" i="1"/>
  <c r="C1186" i="1"/>
  <c r="K1185" i="1"/>
  <c r="H1185" i="1"/>
  <c r="G1185" i="1"/>
  <c r="E1185" i="1"/>
  <c r="D1185" i="1"/>
  <c r="C1185" i="1"/>
  <c r="K1184" i="1"/>
  <c r="H1184" i="1"/>
  <c r="G1184" i="1"/>
  <c r="E1184" i="1"/>
  <c r="D1184" i="1"/>
  <c r="C1184" i="1"/>
  <c r="K1183" i="1"/>
  <c r="H1183" i="1"/>
  <c r="G1183" i="1"/>
  <c r="E1183" i="1"/>
  <c r="D1183" i="1"/>
  <c r="C1183" i="1"/>
  <c r="K1182" i="1"/>
  <c r="H1182" i="1"/>
  <c r="G1182" i="1"/>
  <c r="E1182" i="1"/>
  <c r="D1182" i="1"/>
  <c r="C1182" i="1"/>
  <c r="K1181" i="1"/>
  <c r="H1181" i="1"/>
  <c r="G1181" i="1"/>
  <c r="E1181" i="1"/>
  <c r="D1181" i="1"/>
  <c r="C1181" i="1"/>
  <c r="K1180" i="1"/>
  <c r="H1180" i="1"/>
  <c r="G1180" i="1"/>
  <c r="E1180" i="1"/>
  <c r="D1180" i="1"/>
  <c r="C1180" i="1"/>
  <c r="K1179" i="1"/>
  <c r="H1179" i="1"/>
  <c r="G1179" i="1"/>
  <c r="E1179" i="1"/>
  <c r="D1179" i="1"/>
  <c r="C1179" i="1"/>
  <c r="K1178" i="1"/>
  <c r="H1178" i="1"/>
  <c r="G1178" i="1"/>
  <c r="E1178" i="1"/>
  <c r="D1178" i="1"/>
  <c r="C1178" i="1"/>
  <c r="K1177" i="1"/>
  <c r="H1177" i="1"/>
  <c r="G1177" i="1"/>
  <c r="E1177" i="1"/>
  <c r="D1177" i="1"/>
  <c r="C1177" i="1"/>
  <c r="K1176" i="1"/>
  <c r="H1176" i="1"/>
  <c r="G1176" i="1"/>
  <c r="E1176" i="1"/>
  <c r="D1176" i="1"/>
  <c r="C1176" i="1"/>
  <c r="K1175" i="1"/>
  <c r="H1175" i="1"/>
  <c r="G1175" i="1"/>
  <c r="E1175" i="1"/>
  <c r="D1175" i="1"/>
  <c r="C1175" i="1"/>
  <c r="K1174" i="1"/>
  <c r="H1174" i="1"/>
  <c r="G1174" i="1"/>
  <c r="E1174" i="1"/>
  <c r="D1174" i="1"/>
  <c r="C1174" i="1"/>
  <c r="K1173" i="1"/>
  <c r="H1173" i="1"/>
  <c r="G1173" i="1"/>
  <c r="E1173" i="1"/>
  <c r="D1173" i="1"/>
  <c r="C1173" i="1"/>
  <c r="K1172" i="1"/>
  <c r="H1172" i="1"/>
  <c r="G1172" i="1"/>
  <c r="E1172" i="1"/>
  <c r="D1172" i="1"/>
  <c r="C1172" i="1"/>
  <c r="K1171" i="1"/>
  <c r="H1171" i="1"/>
  <c r="G1171" i="1"/>
  <c r="E1171" i="1"/>
  <c r="D1171" i="1"/>
  <c r="C1171" i="1"/>
  <c r="K1170" i="1"/>
  <c r="H1170" i="1"/>
  <c r="G1170" i="1"/>
  <c r="E1170" i="1"/>
  <c r="D1170" i="1"/>
  <c r="C1170" i="1"/>
  <c r="K1169" i="1"/>
  <c r="H1169" i="1"/>
  <c r="G1169" i="1"/>
  <c r="E1169" i="1"/>
  <c r="D1169" i="1"/>
  <c r="C1169" i="1"/>
  <c r="K1168" i="1"/>
  <c r="H1168" i="1"/>
  <c r="G1168" i="1"/>
  <c r="E1168" i="1"/>
  <c r="D1168" i="1"/>
  <c r="C1168" i="1"/>
  <c r="K1167" i="1"/>
  <c r="H1167" i="1"/>
  <c r="G1167" i="1"/>
  <c r="E1167" i="1"/>
  <c r="D1167" i="1"/>
  <c r="C1167" i="1"/>
  <c r="K1166" i="1"/>
  <c r="H1166" i="1"/>
  <c r="G1166" i="1"/>
  <c r="E1166" i="1"/>
  <c r="D1166" i="1"/>
  <c r="C1166" i="1"/>
  <c r="K1165" i="1"/>
  <c r="H1165" i="1"/>
  <c r="G1165" i="1"/>
  <c r="E1165" i="1"/>
  <c r="D1165" i="1"/>
  <c r="C1165" i="1"/>
  <c r="K1164" i="1"/>
  <c r="H1164" i="1"/>
  <c r="G1164" i="1"/>
  <c r="E1164" i="1"/>
  <c r="D1164" i="1"/>
  <c r="C1164" i="1"/>
  <c r="K1163" i="1"/>
  <c r="H1163" i="1"/>
  <c r="G1163" i="1"/>
  <c r="E1163" i="1"/>
  <c r="D1163" i="1"/>
  <c r="C1163" i="1"/>
  <c r="K1162" i="1"/>
  <c r="H1162" i="1"/>
  <c r="G1162" i="1"/>
  <c r="E1162" i="1"/>
  <c r="D1162" i="1"/>
  <c r="C1162" i="1"/>
  <c r="K1161" i="1"/>
  <c r="H1161" i="1"/>
  <c r="G1161" i="1"/>
  <c r="E1161" i="1"/>
  <c r="D1161" i="1"/>
  <c r="C1161" i="1"/>
  <c r="K1160" i="1"/>
  <c r="H1160" i="1"/>
  <c r="G1160" i="1"/>
  <c r="E1160" i="1"/>
  <c r="D1160" i="1"/>
  <c r="C1160" i="1"/>
  <c r="K1159" i="1"/>
  <c r="H1159" i="1"/>
  <c r="G1159" i="1"/>
  <c r="E1159" i="1"/>
  <c r="D1159" i="1"/>
  <c r="C1159" i="1"/>
  <c r="K1158" i="1"/>
  <c r="H1158" i="1"/>
  <c r="G1158" i="1"/>
  <c r="E1158" i="1"/>
  <c r="D1158" i="1"/>
  <c r="C1158" i="1"/>
  <c r="K1157" i="1"/>
  <c r="H1157" i="1"/>
  <c r="G1157" i="1"/>
  <c r="E1157" i="1"/>
  <c r="D1157" i="1"/>
  <c r="C1157" i="1"/>
  <c r="K1156" i="1"/>
  <c r="H1156" i="1"/>
  <c r="G1156" i="1"/>
  <c r="E1156" i="1"/>
  <c r="D1156" i="1"/>
  <c r="C1156" i="1"/>
  <c r="K1155" i="1"/>
  <c r="H1155" i="1"/>
  <c r="G1155" i="1"/>
  <c r="E1155" i="1"/>
  <c r="D1155" i="1"/>
  <c r="C1155" i="1"/>
  <c r="K1154" i="1"/>
  <c r="H1154" i="1"/>
  <c r="G1154" i="1"/>
  <c r="E1154" i="1"/>
  <c r="D1154" i="1"/>
  <c r="C1154" i="1"/>
  <c r="K1153" i="1"/>
  <c r="H1153" i="1"/>
  <c r="G1153" i="1"/>
  <c r="E1153" i="1"/>
  <c r="D1153" i="1"/>
  <c r="C1153" i="1"/>
  <c r="K1152" i="1"/>
  <c r="H1152" i="1"/>
  <c r="G1152" i="1"/>
  <c r="E1152" i="1"/>
  <c r="D1152" i="1"/>
  <c r="C1152" i="1"/>
  <c r="K1151" i="1"/>
  <c r="H1151" i="1"/>
  <c r="G1151" i="1"/>
  <c r="E1151" i="1"/>
  <c r="D1151" i="1"/>
  <c r="C1151" i="1"/>
  <c r="K1150" i="1"/>
  <c r="H1150" i="1"/>
  <c r="G1150" i="1"/>
  <c r="E1150" i="1"/>
  <c r="D1150" i="1"/>
  <c r="C1150" i="1"/>
  <c r="K1149" i="1"/>
  <c r="H1149" i="1"/>
  <c r="G1149" i="1"/>
  <c r="E1149" i="1"/>
  <c r="D1149" i="1"/>
  <c r="C1149" i="1"/>
  <c r="K1148" i="1"/>
  <c r="H1148" i="1"/>
  <c r="G1148" i="1"/>
  <c r="E1148" i="1"/>
  <c r="D1148" i="1"/>
  <c r="C1148" i="1"/>
  <c r="K1147" i="1"/>
  <c r="H1147" i="1"/>
  <c r="G1147" i="1"/>
  <c r="E1147" i="1"/>
  <c r="D1147" i="1"/>
  <c r="C1147" i="1"/>
  <c r="K1146" i="1"/>
  <c r="H1146" i="1"/>
  <c r="G1146" i="1"/>
  <c r="E1146" i="1"/>
  <c r="D1146" i="1"/>
  <c r="C1146" i="1"/>
  <c r="K1145" i="1"/>
  <c r="H1145" i="1"/>
  <c r="G1145" i="1"/>
  <c r="E1145" i="1"/>
  <c r="D1145" i="1"/>
  <c r="C1145" i="1"/>
  <c r="K1144" i="1"/>
  <c r="H1144" i="1"/>
  <c r="G1144" i="1"/>
  <c r="E1144" i="1"/>
  <c r="D1144" i="1"/>
  <c r="C1144" i="1"/>
  <c r="K1143" i="1"/>
  <c r="H1143" i="1"/>
  <c r="G1143" i="1"/>
  <c r="E1143" i="1"/>
  <c r="D1143" i="1"/>
  <c r="C1143" i="1"/>
  <c r="K1142" i="1"/>
  <c r="H1142" i="1"/>
  <c r="G1142" i="1"/>
  <c r="E1142" i="1"/>
  <c r="D1142" i="1"/>
  <c r="C1142" i="1"/>
  <c r="K1141" i="1"/>
  <c r="H1141" i="1"/>
  <c r="G1141" i="1"/>
  <c r="E1141" i="1"/>
  <c r="D1141" i="1"/>
  <c r="C1141" i="1"/>
  <c r="K1140" i="1"/>
  <c r="H1140" i="1"/>
  <c r="G1140" i="1"/>
  <c r="E1140" i="1"/>
  <c r="D1140" i="1"/>
  <c r="C1140" i="1"/>
  <c r="K1139" i="1"/>
  <c r="H1139" i="1"/>
  <c r="G1139" i="1"/>
  <c r="E1139" i="1"/>
  <c r="D1139" i="1"/>
  <c r="C1139" i="1"/>
  <c r="K1138" i="1"/>
  <c r="H1138" i="1"/>
  <c r="G1138" i="1"/>
  <c r="E1138" i="1"/>
  <c r="D1138" i="1"/>
  <c r="C1138" i="1"/>
  <c r="K1137" i="1"/>
  <c r="H1137" i="1"/>
  <c r="G1137" i="1"/>
  <c r="E1137" i="1"/>
  <c r="D1137" i="1"/>
  <c r="C1137" i="1"/>
  <c r="K1136" i="1"/>
  <c r="H1136" i="1"/>
  <c r="G1136" i="1"/>
  <c r="E1136" i="1"/>
  <c r="D1136" i="1"/>
  <c r="C1136" i="1"/>
  <c r="K1135" i="1"/>
  <c r="H1135" i="1"/>
  <c r="G1135" i="1"/>
  <c r="E1135" i="1"/>
  <c r="D1135" i="1"/>
  <c r="C1135" i="1"/>
  <c r="K1134" i="1"/>
  <c r="H1134" i="1"/>
  <c r="G1134" i="1"/>
  <c r="E1134" i="1"/>
  <c r="D1134" i="1"/>
  <c r="C1134" i="1"/>
  <c r="K1133" i="1"/>
  <c r="H1133" i="1"/>
  <c r="G1133" i="1"/>
  <c r="E1133" i="1"/>
  <c r="D1133" i="1"/>
  <c r="C1133" i="1"/>
  <c r="K1132" i="1"/>
  <c r="H1132" i="1"/>
  <c r="G1132" i="1"/>
  <c r="E1132" i="1"/>
  <c r="D1132" i="1"/>
  <c r="C1132" i="1"/>
  <c r="K1131" i="1"/>
  <c r="H1131" i="1"/>
  <c r="G1131" i="1"/>
  <c r="E1131" i="1"/>
  <c r="D1131" i="1"/>
  <c r="C1131" i="1"/>
  <c r="K1130" i="1"/>
  <c r="H1130" i="1"/>
  <c r="G1130" i="1"/>
  <c r="E1130" i="1"/>
  <c r="D1130" i="1"/>
  <c r="C1130" i="1"/>
  <c r="K1129" i="1"/>
  <c r="H1129" i="1"/>
  <c r="G1129" i="1"/>
  <c r="E1129" i="1"/>
  <c r="D1129" i="1"/>
  <c r="C1129" i="1"/>
  <c r="K1128" i="1"/>
  <c r="H1128" i="1"/>
  <c r="G1128" i="1"/>
  <c r="E1128" i="1"/>
  <c r="D1128" i="1"/>
  <c r="C1128" i="1"/>
  <c r="K1127" i="1"/>
  <c r="H1127" i="1"/>
  <c r="G1127" i="1"/>
  <c r="E1127" i="1"/>
  <c r="D1127" i="1"/>
  <c r="C1127" i="1"/>
  <c r="K1126" i="1"/>
  <c r="H1126" i="1"/>
  <c r="G1126" i="1"/>
  <c r="E1126" i="1"/>
  <c r="D1126" i="1"/>
  <c r="C1126" i="1"/>
  <c r="K1125" i="1"/>
  <c r="H1125" i="1"/>
  <c r="G1125" i="1"/>
  <c r="E1125" i="1"/>
  <c r="D1125" i="1"/>
  <c r="C1125" i="1"/>
  <c r="K1124" i="1"/>
  <c r="H1124" i="1"/>
  <c r="G1124" i="1"/>
  <c r="E1124" i="1"/>
  <c r="D1124" i="1"/>
  <c r="C1124" i="1"/>
  <c r="K1123" i="1"/>
  <c r="H1123" i="1"/>
  <c r="G1123" i="1"/>
  <c r="E1123" i="1"/>
  <c r="D1123" i="1"/>
  <c r="C1123" i="1"/>
  <c r="K1122" i="1"/>
  <c r="H1122" i="1"/>
  <c r="G1122" i="1"/>
  <c r="E1122" i="1"/>
  <c r="D1122" i="1"/>
  <c r="C1122" i="1"/>
  <c r="K1121" i="1"/>
  <c r="H1121" i="1"/>
  <c r="G1121" i="1"/>
  <c r="E1121" i="1"/>
  <c r="D1121" i="1"/>
  <c r="C1121" i="1"/>
  <c r="K1120" i="1"/>
  <c r="H1120" i="1"/>
  <c r="G1120" i="1"/>
  <c r="E1120" i="1"/>
  <c r="D1120" i="1"/>
  <c r="C1120" i="1"/>
  <c r="K1119" i="1"/>
  <c r="H1119" i="1"/>
  <c r="G1119" i="1"/>
  <c r="E1119" i="1"/>
  <c r="D1119" i="1"/>
  <c r="C1119" i="1"/>
  <c r="K1118" i="1"/>
  <c r="H1118" i="1"/>
  <c r="G1118" i="1"/>
  <c r="E1118" i="1"/>
  <c r="D1118" i="1"/>
  <c r="C1118" i="1"/>
  <c r="K1117" i="1"/>
  <c r="H1117" i="1"/>
  <c r="G1117" i="1"/>
  <c r="E1117" i="1"/>
  <c r="D1117" i="1"/>
  <c r="C1117" i="1"/>
  <c r="K1116" i="1"/>
  <c r="H1116" i="1"/>
  <c r="G1116" i="1"/>
  <c r="E1116" i="1"/>
  <c r="D1116" i="1"/>
  <c r="C1116" i="1"/>
  <c r="K1115" i="1"/>
  <c r="H1115" i="1"/>
  <c r="G1115" i="1"/>
  <c r="E1115" i="1"/>
  <c r="D1115" i="1"/>
  <c r="C1115" i="1"/>
  <c r="K1114" i="1"/>
  <c r="H1114" i="1"/>
  <c r="G1114" i="1"/>
  <c r="E1114" i="1"/>
  <c r="D1114" i="1"/>
  <c r="C1114" i="1"/>
  <c r="K1113" i="1"/>
  <c r="H1113" i="1"/>
  <c r="G1113" i="1"/>
  <c r="E1113" i="1"/>
  <c r="D1113" i="1"/>
  <c r="C1113" i="1"/>
  <c r="K1112" i="1"/>
  <c r="H1112" i="1"/>
  <c r="G1112" i="1"/>
  <c r="E1112" i="1"/>
  <c r="D1112" i="1"/>
  <c r="C1112" i="1"/>
  <c r="K1111" i="1"/>
  <c r="H1111" i="1"/>
  <c r="G1111" i="1"/>
  <c r="E1111" i="1"/>
  <c r="D1111" i="1"/>
  <c r="C1111" i="1"/>
  <c r="K1110" i="1"/>
  <c r="H1110" i="1"/>
  <c r="G1110" i="1"/>
  <c r="E1110" i="1"/>
  <c r="D1110" i="1"/>
  <c r="C1110" i="1"/>
  <c r="K1109" i="1"/>
  <c r="H1109" i="1"/>
  <c r="G1109" i="1"/>
  <c r="E1109" i="1"/>
  <c r="D1109" i="1"/>
  <c r="C1109" i="1"/>
  <c r="K1108" i="1"/>
  <c r="H1108" i="1"/>
  <c r="G1108" i="1"/>
  <c r="E1108" i="1"/>
  <c r="D1108" i="1"/>
  <c r="C1108" i="1"/>
  <c r="K1107" i="1"/>
  <c r="H1107" i="1"/>
  <c r="G1107" i="1"/>
  <c r="E1107" i="1"/>
  <c r="D1107" i="1"/>
  <c r="C1107" i="1"/>
  <c r="K1106" i="1"/>
  <c r="H1106" i="1"/>
  <c r="G1106" i="1"/>
  <c r="E1106" i="1"/>
  <c r="D1106" i="1"/>
  <c r="C1106" i="1"/>
  <c r="K1105" i="1"/>
  <c r="H1105" i="1"/>
  <c r="G1105" i="1"/>
  <c r="E1105" i="1"/>
  <c r="D1105" i="1"/>
  <c r="C1105" i="1"/>
  <c r="K1104" i="1"/>
  <c r="H1104" i="1"/>
  <c r="G1104" i="1"/>
  <c r="E1104" i="1"/>
  <c r="D1104" i="1"/>
  <c r="C1104" i="1"/>
  <c r="K1103" i="1"/>
  <c r="H1103" i="1"/>
  <c r="G1103" i="1"/>
  <c r="E1103" i="1"/>
  <c r="D1103" i="1"/>
  <c r="C1103" i="1"/>
  <c r="K1102" i="1"/>
  <c r="H1102" i="1"/>
  <c r="G1102" i="1"/>
  <c r="E1102" i="1"/>
  <c r="D1102" i="1"/>
  <c r="C1102" i="1"/>
  <c r="K1101" i="1"/>
  <c r="H1101" i="1"/>
  <c r="G1101" i="1"/>
  <c r="E1101" i="1"/>
  <c r="D1101" i="1"/>
  <c r="C1101" i="1"/>
  <c r="K1100" i="1"/>
  <c r="H1100" i="1"/>
  <c r="G1100" i="1"/>
  <c r="E1100" i="1"/>
  <c r="D1100" i="1"/>
  <c r="C1100" i="1"/>
  <c r="K1099" i="1"/>
  <c r="H1099" i="1"/>
  <c r="G1099" i="1"/>
  <c r="E1099" i="1"/>
  <c r="D1099" i="1"/>
  <c r="C1099" i="1"/>
  <c r="K1098" i="1"/>
  <c r="H1098" i="1"/>
  <c r="G1098" i="1"/>
  <c r="E1098" i="1"/>
  <c r="D1098" i="1"/>
  <c r="C1098" i="1"/>
  <c r="K1097" i="1"/>
  <c r="H1097" i="1"/>
  <c r="G1097" i="1"/>
  <c r="E1097" i="1"/>
  <c r="D1097" i="1"/>
  <c r="C1097" i="1"/>
  <c r="K1096" i="1"/>
  <c r="H1096" i="1"/>
  <c r="G1096" i="1"/>
  <c r="E1096" i="1"/>
  <c r="D1096" i="1"/>
  <c r="C1096" i="1"/>
  <c r="K1095" i="1"/>
  <c r="H1095" i="1"/>
  <c r="G1095" i="1"/>
  <c r="E1095" i="1"/>
  <c r="D1095" i="1"/>
  <c r="C1095" i="1"/>
  <c r="K1094" i="1"/>
  <c r="H1094" i="1"/>
  <c r="G1094" i="1"/>
  <c r="E1094" i="1"/>
  <c r="D1094" i="1"/>
  <c r="C1094" i="1"/>
  <c r="K1093" i="1"/>
  <c r="H1093" i="1"/>
  <c r="G1093" i="1"/>
  <c r="E1093" i="1"/>
  <c r="D1093" i="1"/>
  <c r="C1093" i="1"/>
  <c r="K1092" i="1"/>
  <c r="H1092" i="1"/>
  <c r="G1092" i="1"/>
  <c r="E1092" i="1"/>
  <c r="D1092" i="1"/>
  <c r="C1092" i="1"/>
  <c r="K1091" i="1"/>
  <c r="H1091" i="1"/>
  <c r="G1091" i="1"/>
  <c r="E1091" i="1"/>
  <c r="D1091" i="1"/>
  <c r="C1091" i="1"/>
  <c r="K1090" i="1"/>
  <c r="H1090" i="1"/>
  <c r="G1090" i="1"/>
  <c r="E1090" i="1"/>
  <c r="D1090" i="1"/>
  <c r="C1090" i="1"/>
  <c r="K1089" i="1"/>
  <c r="H1089" i="1"/>
  <c r="G1089" i="1"/>
  <c r="E1089" i="1"/>
  <c r="D1089" i="1"/>
  <c r="C1089" i="1"/>
  <c r="K1088" i="1"/>
  <c r="H1088" i="1"/>
  <c r="G1088" i="1"/>
  <c r="E1088" i="1"/>
  <c r="D1088" i="1"/>
  <c r="C1088" i="1"/>
  <c r="K1087" i="1"/>
  <c r="H1087" i="1"/>
  <c r="G1087" i="1"/>
  <c r="E1087" i="1"/>
  <c r="D1087" i="1"/>
  <c r="C1087" i="1"/>
  <c r="K1086" i="1"/>
  <c r="H1086" i="1"/>
  <c r="G1086" i="1"/>
  <c r="E1086" i="1"/>
  <c r="D1086" i="1"/>
  <c r="C1086" i="1"/>
  <c r="K1085" i="1"/>
  <c r="H1085" i="1"/>
  <c r="G1085" i="1"/>
  <c r="E1085" i="1"/>
  <c r="D1085" i="1"/>
  <c r="C1085" i="1"/>
  <c r="K1084" i="1"/>
  <c r="H1084" i="1"/>
  <c r="G1084" i="1"/>
  <c r="E1084" i="1"/>
  <c r="D1084" i="1"/>
  <c r="C1084" i="1"/>
  <c r="K1083" i="1"/>
  <c r="H1083" i="1"/>
  <c r="G1083" i="1"/>
  <c r="E1083" i="1"/>
  <c r="D1083" i="1"/>
  <c r="C1083" i="1"/>
  <c r="K1082" i="1"/>
  <c r="H1082" i="1"/>
  <c r="G1082" i="1"/>
  <c r="E1082" i="1"/>
  <c r="D1082" i="1"/>
  <c r="C1082" i="1"/>
  <c r="K1081" i="1"/>
  <c r="H1081" i="1"/>
  <c r="G1081" i="1"/>
  <c r="E1081" i="1"/>
  <c r="D1081" i="1"/>
  <c r="C1081" i="1"/>
  <c r="K1080" i="1"/>
  <c r="H1080" i="1"/>
  <c r="G1080" i="1"/>
  <c r="E1080" i="1"/>
  <c r="D1080" i="1"/>
  <c r="C1080" i="1"/>
  <c r="K1079" i="1"/>
  <c r="H1079" i="1"/>
  <c r="G1079" i="1"/>
  <c r="E1079" i="1"/>
  <c r="D1079" i="1"/>
  <c r="C1079" i="1"/>
  <c r="K1078" i="1"/>
  <c r="H1078" i="1"/>
  <c r="G1078" i="1"/>
  <c r="E1078" i="1"/>
  <c r="D1078" i="1"/>
  <c r="C1078" i="1"/>
  <c r="K1077" i="1"/>
  <c r="H1077" i="1"/>
  <c r="G1077" i="1"/>
  <c r="E1077" i="1"/>
  <c r="D1077" i="1"/>
  <c r="C1077" i="1"/>
  <c r="K1076" i="1"/>
  <c r="H1076" i="1"/>
  <c r="G1076" i="1"/>
  <c r="E1076" i="1"/>
  <c r="D1076" i="1"/>
  <c r="C1076" i="1"/>
  <c r="K1075" i="1"/>
  <c r="H1075" i="1"/>
  <c r="G1075" i="1"/>
  <c r="E1075" i="1"/>
  <c r="D1075" i="1"/>
  <c r="C1075" i="1"/>
  <c r="K1074" i="1"/>
  <c r="H1074" i="1"/>
  <c r="G1074" i="1"/>
  <c r="E1074" i="1"/>
  <c r="D1074" i="1"/>
  <c r="C1074" i="1"/>
  <c r="K1073" i="1"/>
  <c r="H1073" i="1"/>
  <c r="G1073" i="1"/>
  <c r="E1073" i="1"/>
  <c r="D1073" i="1"/>
  <c r="C1073" i="1"/>
  <c r="K1072" i="1"/>
  <c r="H1072" i="1"/>
  <c r="G1072" i="1"/>
  <c r="E1072" i="1"/>
  <c r="D1072" i="1"/>
  <c r="C1072" i="1"/>
  <c r="K1071" i="1"/>
  <c r="H1071" i="1"/>
  <c r="G1071" i="1"/>
  <c r="E1071" i="1"/>
  <c r="D1071" i="1"/>
  <c r="C1071" i="1"/>
  <c r="K1070" i="1"/>
  <c r="H1070" i="1"/>
  <c r="G1070" i="1"/>
  <c r="E1070" i="1"/>
  <c r="D1070" i="1"/>
  <c r="C1070" i="1"/>
  <c r="K1069" i="1"/>
  <c r="H1069" i="1"/>
  <c r="G1069" i="1"/>
  <c r="E1069" i="1"/>
  <c r="D1069" i="1"/>
  <c r="C1069" i="1"/>
  <c r="K1068" i="1"/>
  <c r="H1068" i="1"/>
  <c r="G1068" i="1"/>
  <c r="E1068" i="1"/>
  <c r="D1068" i="1"/>
  <c r="C1068" i="1"/>
  <c r="K1067" i="1"/>
  <c r="H1067" i="1"/>
  <c r="G1067" i="1"/>
  <c r="E1067" i="1"/>
  <c r="D1067" i="1"/>
  <c r="C1067" i="1"/>
  <c r="K1066" i="1"/>
  <c r="H1066" i="1"/>
  <c r="G1066" i="1"/>
  <c r="E1066" i="1"/>
  <c r="D1066" i="1"/>
  <c r="C1066" i="1"/>
  <c r="K1065" i="1"/>
  <c r="H1065" i="1"/>
  <c r="G1065" i="1"/>
  <c r="E1065" i="1"/>
  <c r="D1065" i="1"/>
  <c r="C1065" i="1"/>
  <c r="K1064" i="1"/>
  <c r="H1064" i="1"/>
  <c r="G1064" i="1"/>
  <c r="E1064" i="1"/>
  <c r="D1064" i="1"/>
  <c r="C1064" i="1"/>
  <c r="K1063" i="1"/>
  <c r="H1063" i="1"/>
  <c r="G1063" i="1"/>
  <c r="E1063" i="1"/>
  <c r="D1063" i="1"/>
  <c r="C1063" i="1"/>
  <c r="K1062" i="1"/>
  <c r="H1062" i="1"/>
  <c r="G1062" i="1"/>
  <c r="E1062" i="1"/>
  <c r="D1062" i="1"/>
  <c r="C1062" i="1"/>
  <c r="K1061" i="1"/>
  <c r="H1061" i="1"/>
  <c r="G1061" i="1"/>
  <c r="E1061" i="1"/>
  <c r="D1061" i="1"/>
  <c r="C1061" i="1"/>
  <c r="K1060" i="1"/>
  <c r="H1060" i="1"/>
  <c r="G1060" i="1"/>
  <c r="E1060" i="1"/>
  <c r="D1060" i="1"/>
  <c r="C1060" i="1"/>
  <c r="K1059" i="1"/>
  <c r="H1059" i="1"/>
  <c r="G1059" i="1"/>
  <c r="E1059" i="1"/>
  <c r="D1059" i="1"/>
  <c r="C1059" i="1"/>
  <c r="K1058" i="1"/>
  <c r="H1058" i="1"/>
  <c r="G1058" i="1"/>
  <c r="E1058" i="1"/>
  <c r="D1058" i="1"/>
  <c r="C1058" i="1"/>
  <c r="K1057" i="1"/>
  <c r="H1057" i="1"/>
  <c r="G1057" i="1"/>
  <c r="E1057" i="1"/>
  <c r="D1057" i="1"/>
  <c r="C1057" i="1"/>
  <c r="K1056" i="1"/>
  <c r="H1056" i="1"/>
  <c r="G1056" i="1"/>
  <c r="E1056" i="1"/>
  <c r="D1056" i="1"/>
  <c r="C1056" i="1"/>
  <c r="K1055" i="1"/>
  <c r="H1055" i="1"/>
  <c r="G1055" i="1"/>
  <c r="E1055" i="1"/>
  <c r="D1055" i="1"/>
  <c r="C1055" i="1"/>
  <c r="K1054" i="1"/>
  <c r="H1054" i="1"/>
  <c r="G1054" i="1"/>
  <c r="E1054" i="1"/>
  <c r="D1054" i="1"/>
  <c r="C1054" i="1"/>
  <c r="K1053" i="1"/>
  <c r="H1053" i="1"/>
  <c r="G1053" i="1"/>
  <c r="E1053" i="1"/>
  <c r="D1053" i="1"/>
  <c r="C1053" i="1"/>
  <c r="K1052" i="1"/>
  <c r="H1052" i="1"/>
  <c r="G1052" i="1"/>
  <c r="E1052" i="1"/>
  <c r="D1052" i="1"/>
  <c r="C1052" i="1"/>
  <c r="K1051" i="1"/>
  <c r="H1051" i="1"/>
  <c r="G1051" i="1"/>
  <c r="E1051" i="1"/>
  <c r="D1051" i="1"/>
  <c r="C1051" i="1"/>
  <c r="K1050" i="1"/>
  <c r="H1050" i="1"/>
  <c r="G1050" i="1"/>
  <c r="E1050" i="1"/>
  <c r="C1050" i="1"/>
  <c r="K1049" i="1"/>
  <c r="H1049" i="1"/>
  <c r="G1049" i="1"/>
  <c r="E1049" i="1"/>
  <c r="C1049" i="1"/>
  <c r="K1048" i="1"/>
  <c r="H1048" i="1"/>
  <c r="G1048" i="1"/>
  <c r="E1048" i="1"/>
  <c r="C1048" i="1"/>
  <c r="K1047" i="1"/>
  <c r="H1047" i="1"/>
  <c r="G1047" i="1"/>
  <c r="E1047" i="1"/>
  <c r="C1047" i="1"/>
  <c r="K1046" i="1"/>
  <c r="H1046" i="1"/>
  <c r="G1046" i="1"/>
  <c r="E1046" i="1"/>
  <c r="C1046" i="1"/>
  <c r="K1045" i="1"/>
  <c r="H1045" i="1"/>
  <c r="G1045" i="1"/>
  <c r="E1045" i="1"/>
  <c r="C1045" i="1"/>
  <c r="K1044" i="1"/>
  <c r="H1044" i="1"/>
  <c r="G1044" i="1"/>
  <c r="E1044" i="1"/>
  <c r="D1044" i="1"/>
  <c r="C1044" i="1"/>
  <c r="K1043" i="1"/>
  <c r="H1043" i="1"/>
  <c r="G1043" i="1"/>
  <c r="E1043" i="1"/>
  <c r="D1043" i="1"/>
  <c r="C1043" i="1"/>
  <c r="K1042" i="1"/>
  <c r="H1042" i="1"/>
  <c r="G1042" i="1"/>
  <c r="E1042" i="1"/>
  <c r="D1042" i="1"/>
  <c r="C1042" i="1"/>
  <c r="K1041" i="1"/>
  <c r="H1041" i="1"/>
  <c r="G1041" i="1"/>
  <c r="E1041" i="1"/>
  <c r="D1041" i="1"/>
  <c r="C1041" i="1"/>
  <c r="K1040" i="1"/>
  <c r="H1040" i="1"/>
  <c r="G1040" i="1"/>
  <c r="E1040" i="1"/>
  <c r="D1040" i="1"/>
  <c r="C1040" i="1"/>
  <c r="K1039" i="1"/>
  <c r="H1039" i="1"/>
  <c r="G1039" i="1"/>
  <c r="E1039" i="1"/>
  <c r="D1039" i="1"/>
  <c r="C1039" i="1"/>
  <c r="K1038" i="1"/>
  <c r="H1038" i="1"/>
  <c r="G1038" i="1"/>
  <c r="E1038" i="1"/>
  <c r="D1038" i="1"/>
  <c r="C1038" i="1"/>
  <c r="K1037" i="1"/>
  <c r="H1037" i="1"/>
  <c r="G1037" i="1"/>
  <c r="E1037" i="1"/>
  <c r="D1037" i="1"/>
  <c r="C1037" i="1"/>
  <c r="K1036" i="1"/>
  <c r="H1036" i="1"/>
  <c r="G1036" i="1"/>
  <c r="E1036" i="1"/>
  <c r="D1036" i="1"/>
  <c r="C1036" i="1"/>
  <c r="K1035" i="1"/>
  <c r="H1035" i="1"/>
  <c r="G1035" i="1"/>
  <c r="E1035" i="1"/>
  <c r="D1035" i="1"/>
  <c r="C1035" i="1"/>
  <c r="K1034" i="1"/>
  <c r="H1034" i="1"/>
  <c r="G1034" i="1"/>
  <c r="E1034" i="1"/>
  <c r="D1034" i="1"/>
  <c r="C1034" i="1"/>
  <c r="K1033" i="1"/>
  <c r="H1033" i="1"/>
  <c r="G1033" i="1"/>
  <c r="E1033" i="1"/>
  <c r="D1033" i="1"/>
  <c r="C1033" i="1"/>
  <c r="K1032" i="1"/>
  <c r="H1032" i="1"/>
  <c r="G1032" i="1"/>
  <c r="E1032" i="1"/>
  <c r="D1032" i="1"/>
  <c r="C1032" i="1"/>
  <c r="K1031" i="1"/>
  <c r="H1031" i="1"/>
  <c r="G1031" i="1"/>
  <c r="E1031" i="1"/>
  <c r="D1031" i="1"/>
  <c r="C1031" i="1"/>
  <c r="K1030" i="1"/>
  <c r="H1030" i="1"/>
  <c r="G1030" i="1"/>
  <c r="E1030" i="1"/>
  <c r="D1030" i="1"/>
  <c r="C1030" i="1"/>
  <c r="K1029" i="1"/>
  <c r="H1029" i="1"/>
  <c r="G1029" i="1"/>
  <c r="E1029" i="1"/>
  <c r="D1029" i="1"/>
  <c r="C1029" i="1"/>
  <c r="K1028" i="1"/>
  <c r="H1028" i="1"/>
  <c r="G1028" i="1"/>
  <c r="E1028" i="1"/>
  <c r="D1028" i="1"/>
  <c r="C1028" i="1"/>
  <c r="K1027" i="1"/>
  <c r="H1027" i="1"/>
  <c r="G1027" i="1"/>
  <c r="E1027" i="1"/>
  <c r="D1027" i="1"/>
  <c r="C1027" i="1"/>
  <c r="K1026" i="1"/>
  <c r="H1026" i="1"/>
  <c r="G1026" i="1"/>
  <c r="E1026" i="1"/>
  <c r="D1026" i="1"/>
  <c r="C1026" i="1"/>
  <c r="K1025" i="1"/>
  <c r="H1025" i="1"/>
  <c r="G1025" i="1"/>
  <c r="E1025" i="1"/>
  <c r="D1025" i="1"/>
  <c r="C1025" i="1"/>
  <c r="K1024" i="1"/>
  <c r="H1024" i="1"/>
  <c r="G1024" i="1"/>
  <c r="E1024" i="1"/>
  <c r="D1024" i="1"/>
  <c r="C1024" i="1"/>
  <c r="K1023" i="1"/>
  <c r="H1023" i="1"/>
  <c r="G1023" i="1"/>
  <c r="E1023" i="1"/>
  <c r="D1023" i="1"/>
  <c r="C1023" i="1"/>
  <c r="K1022" i="1"/>
  <c r="H1022" i="1"/>
  <c r="G1022" i="1"/>
  <c r="E1022" i="1"/>
  <c r="D1022" i="1"/>
  <c r="C1022" i="1"/>
  <c r="K1021" i="1"/>
  <c r="H1021" i="1"/>
  <c r="G1021" i="1"/>
  <c r="E1021" i="1"/>
  <c r="D1021" i="1"/>
  <c r="C1021" i="1"/>
  <c r="K1020" i="1"/>
  <c r="H1020" i="1"/>
  <c r="G1020" i="1"/>
  <c r="E1020" i="1"/>
  <c r="D1020" i="1"/>
  <c r="C1020" i="1"/>
  <c r="K1019" i="1"/>
  <c r="H1019" i="1"/>
  <c r="G1019" i="1"/>
  <c r="E1019" i="1"/>
  <c r="D1019" i="1"/>
  <c r="C1019" i="1"/>
  <c r="K1018" i="1"/>
  <c r="H1018" i="1"/>
  <c r="G1018" i="1"/>
  <c r="E1018" i="1"/>
  <c r="D1018" i="1"/>
  <c r="C1018" i="1"/>
  <c r="K1017" i="1"/>
  <c r="H1017" i="1"/>
  <c r="G1017" i="1"/>
  <c r="E1017" i="1"/>
  <c r="D1017" i="1"/>
  <c r="C1017" i="1"/>
  <c r="K1016" i="1"/>
  <c r="H1016" i="1"/>
  <c r="G1016" i="1"/>
  <c r="E1016" i="1"/>
  <c r="D1016" i="1"/>
  <c r="C1016" i="1"/>
  <c r="K1015" i="1"/>
  <c r="H1015" i="1"/>
  <c r="G1015" i="1"/>
  <c r="E1015" i="1"/>
  <c r="D1015" i="1"/>
  <c r="C1015" i="1"/>
  <c r="K1014" i="1"/>
  <c r="H1014" i="1"/>
  <c r="G1014" i="1"/>
  <c r="E1014" i="1"/>
  <c r="D1014" i="1"/>
  <c r="C1014" i="1"/>
  <c r="K1013" i="1"/>
  <c r="H1013" i="1"/>
  <c r="G1013" i="1"/>
  <c r="E1013" i="1"/>
  <c r="D1013" i="1"/>
  <c r="C1013" i="1"/>
  <c r="K1012" i="1"/>
  <c r="H1012" i="1"/>
  <c r="G1012" i="1"/>
  <c r="E1012" i="1"/>
  <c r="D1012" i="1"/>
  <c r="C1012" i="1"/>
  <c r="K1011" i="1"/>
  <c r="H1011" i="1"/>
  <c r="G1011" i="1"/>
  <c r="E1011" i="1"/>
  <c r="D1011" i="1"/>
  <c r="C1011" i="1"/>
  <c r="K1010" i="1"/>
  <c r="H1010" i="1"/>
  <c r="G1010" i="1"/>
  <c r="E1010" i="1"/>
  <c r="D1010" i="1"/>
  <c r="C1010" i="1"/>
  <c r="K1009" i="1"/>
  <c r="H1009" i="1"/>
  <c r="G1009" i="1"/>
  <c r="E1009" i="1"/>
  <c r="D1009" i="1"/>
  <c r="C1009" i="1"/>
  <c r="K1008" i="1"/>
  <c r="H1008" i="1"/>
  <c r="G1008" i="1"/>
  <c r="E1008" i="1"/>
  <c r="D1008" i="1"/>
  <c r="C1008" i="1"/>
  <c r="K1007" i="1"/>
  <c r="H1007" i="1"/>
  <c r="G1007" i="1"/>
  <c r="E1007" i="1"/>
  <c r="D1007" i="1"/>
  <c r="C1007" i="1"/>
  <c r="K1006" i="1"/>
  <c r="H1006" i="1"/>
  <c r="G1006" i="1"/>
  <c r="E1006" i="1"/>
  <c r="D1006" i="1"/>
  <c r="C1006" i="1"/>
  <c r="K1005" i="1"/>
  <c r="H1005" i="1"/>
  <c r="G1005" i="1"/>
  <c r="E1005" i="1"/>
  <c r="D1005" i="1"/>
  <c r="C1005" i="1"/>
  <c r="K1004" i="1"/>
  <c r="H1004" i="1"/>
  <c r="G1004" i="1"/>
  <c r="E1004" i="1"/>
  <c r="D1004" i="1"/>
  <c r="C1004" i="1"/>
  <c r="K1003" i="1"/>
  <c r="H1003" i="1"/>
  <c r="G1003" i="1"/>
  <c r="E1003" i="1"/>
  <c r="D1003" i="1"/>
  <c r="C1003" i="1"/>
  <c r="K1002" i="1"/>
  <c r="H1002" i="1"/>
  <c r="G1002" i="1"/>
  <c r="E1002" i="1"/>
  <c r="D1002" i="1"/>
  <c r="C1002" i="1"/>
  <c r="K1001" i="1"/>
  <c r="H1001" i="1"/>
  <c r="G1001" i="1"/>
  <c r="E1001" i="1"/>
  <c r="D1001" i="1"/>
  <c r="C1001" i="1"/>
  <c r="K1000" i="1"/>
  <c r="H1000" i="1"/>
  <c r="G1000" i="1"/>
  <c r="E1000" i="1"/>
  <c r="D1000" i="1"/>
  <c r="C1000" i="1"/>
  <c r="K999" i="1"/>
  <c r="H999" i="1"/>
  <c r="G999" i="1"/>
  <c r="E999" i="1"/>
  <c r="D999" i="1"/>
  <c r="C999" i="1"/>
  <c r="K998" i="1"/>
  <c r="H998" i="1"/>
  <c r="G998" i="1"/>
  <c r="E998" i="1"/>
  <c r="D998" i="1"/>
  <c r="C998" i="1"/>
  <c r="K997" i="1"/>
  <c r="H997" i="1"/>
  <c r="G997" i="1"/>
  <c r="E997" i="1"/>
  <c r="D997" i="1"/>
  <c r="C997" i="1"/>
  <c r="K996" i="1"/>
  <c r="H996" i="1"/>
  <c r="G996" i="1"/>
  <c r="E996" i="1"/>
  <c r="D996" i="1"/>
  <c r="C996" i="1"/>
  <c r="K995" i="1"/>
  <c r="H995" i="1"/>
  <c r="G995" i="1"/>
  <c r="E995" i="1"/>
  <c r="D995" i="1"/>
  <c r="C995" i="1"/>
  <c r="K994" i="1"/>
  <c r="H994" i="1"/>
  <c r="G994" i="1"/>
  <c r="E994" i="1"/>
  <c r="D994" i="1"/>
  <c r="C994" i="1"/>
  <c r="K993" i="1"/>
  <c r="H993" i="1"/>
  <c r="G993" i="1"/>
  <c r="E993" i="1"/>
  <c r="D993" i="1"/>
  <c r="C993" i="1"/>
  <c r="K992" i="1"/>
  <c r="H992" i="1"/>
  <c r="G992" i="1"/>
  <c r="E992" i="1"/>
  <c r="D992" i="1"/>
  <c r="C992" i="1"/>
  <c r="K991" i="1"/>
  <c r="H991" i="1"/>
  <c r="G991" i="1"/>
  <c r="E991" i="1"/>
  <c r="D991" i="1"/>
  <c r="C991" i="1"/>
  <c r="K990" i="1"/>
  <c r="H990" i="1"/>
  <c r="G990" i="1"/>
  <c r="E990" i="1"/>
  <c r="D990" i="1"/>
  <c r="C990" i="1"/>
  <c r="K989" i="1"/>
  <c r="H989" i="1"/>
  <c r="G989" i="1"/>
  <c r="E989" i="1"/>
  <c r="D989" i="1"/>
  <c r="C989" i="1"/>
  <c r="K988" i="1"/>
  <c r="H988" i="1"/>
  <c r="G988" i="1"/>
  <c r="E988" i="1"/>
  <c r="D988" i="1"/>
  <c r="C988" i="1"/>
  <c r="K987" i="1"/>
  <c r="H987" i="1"/>
  <c r="G987" i="1"/>
  <c r="E987" i="1"/>
  <c r="D987" i="1"/>
  <c r="C987" i="1"/>
  <c r="K986" i="1"/>
  <c r="H986" i="1"/>
  <c r="G986" i="1"/>
  <c r="E986" i="1"/>
  <c r="D986" i="1"/>
  <c r="C986" i="1"/>
  <c r="K985" i="1"/>
  <c r="H985" i="1"/>
  <c r="G985" i="1"/>
  <c r="E985" i="1"/>
  <c r="D985" i="1"/>
  <c r="C985" i="1"/>
  <c r="K984" i="1"/>
  <c r="H984" i="1"/>
  <c r="G984" i="1"/>
  <c r="E984" i="1"/>
  <c r="D984" i="1"/>
  <c r="C984" i="1"/>
  <c r="K983" i="1"/>
  <c r="H983" i="1"/>
  <c r="G983" i="1"/>
  <c r="E983" i="1"/>
  <c r="D983" i="1"/>
  <c r="C983" i="1"/>
  <c r="K982" i="1"/>
  <c r="H982" i="1"/>
  <c r="G982" i="1"/>
  <c r="E982" i="1"/>
  <c r="D982" i="1"/>
  <c r="C982" i="1"/>
  <c r="K981" i="1"/>
  <c r="H981" i="1"/>
  <c r="G981" i="1"/>
  <c r="E981" i="1"/>
  <c r="D981" i="1"/>
  <c r="C981" i="1"/>
  <c r="K980" i="1"/>
  <c r="H980" i="1"/>
  <c r="G980" i="1"/>
  <c r="E980" i="1"/>
  <c r="D980" i="1"/>
  <c r="C980" i="1"/>
  <c r="K979" i="1"/>
  <c r="H979" i="1"/>
  <c r="G979" i="1"/>
  <c r="E979" i="1"/>
  <c r="D979" i="1"/>
  <c r="C979" i="1"/>
  <c r="K978" i="1"/>
  <c r="H978" i="1"/>
  <c r="G978" i="1"/>
  <c r="E978" i="1"/>
  <c r="D978" i="1"/>
  <c r="C978" i="1"/>
  <c r="K977" i="1"/>
  <c r="H977" i="1"/>
  <c r="G977" i="1"/>
  <c r="E977" i="1"/>
  <c r="D977" i="1"/>
  <c r="C977" i="1"/>
  <c r="K976" i="1"/>
  <c r="H976" i="1"/>
  <c r="G976" i="1"/>
  <c r="E976" i="1"/>
  <c r="D976" i="1"/>
  <c r="C976" i="1"/>
  <c r="K975" i="1"/>
  <c r="H975" i="1"/>
  <c r="G975" i="1"/>
  <c r="E975" i="1"/>
  <c r="D975" i="1"/>
  <c r="C975" i="1"/>
  <c r="K974" i="1"/>
  <c r="H974" i="1"/>
  <c r="G974" i="1"/>
  <c r="E974" i="1"/>
  <c r="D974" i="1"/>
  <c r="C974" i="1"/>
  <c r="K973" i="1"/>
  <c r="H973" i="1"/>
  <c r="G973" i="1"/>
  <c r="E973" i="1"/>
  <c r="D973" i="1"/>
  <c r="C973" i="1"/>
  <c r="K972" i="1"/>
  <c r="H972" i="1"/>
  <c r="G972" i="1"/>
  <c r="E972" i="1"/>
  <c r="D972" i="1"/>
  <c r="C972" i="1"/>
  <c r="K971" i="1"/>
  <c r="H971" i="1"/>
  <c r="G971" i="1"/>
  <c r="E971" i="1"/>
  <c r="D971" i="1"/>
  <c r="C971" i="1"/>
  <c r="K970" i="1"/>
  <c r="H970" i="1"/>
  <c r="G970" i="1"/>
  <c r="E970" i="1"/>
  <c r="D970" i="1"/>
  <c r="C970" i="1"/>
  <c r="K969" i="1"/>
  <c r="H969" i="1"/>
  <c r="G969" i="1"/>
  <c r="E969" i="1"/>
  <c r="D969" i="1"/>
  <c r="C969" i="1"/>
  <c r="K968" i="1"/>
  <c r="H968" i="1"/>
  <c r="G968" i="1"/>
  <c r="E968" i="1"/>
  <c r="D968" i="1"/>
  <c r="C968" i="1"/>
  <c r="K967" i="1"/>
  <c r="H967" i="1"/>
  <c r="G967" i="1"/>
  <c r="E967" i="1"/>
  <c r="D967" i="1"/>
  <c r="C967" i="1"/>
  <c r="K966" i="1"/>
  <c r="H966" i="1"/>
  <c r="G966" i="1"/>
  <c r="E966" i="1"/>
  <c r="D966" i="1"/>
  <c r="C966" i="1"/>
  <c r="K965" i="1"/>
  <c r="H965" i="1"/>
  <c r="G965" i="1"/>
  <c r="E965" i="1"/>
  <c r="D965" i="1"/>
  <c r="C965" i="1"/>
  <c r="K964" i="1"/>
  <c r="H964" i="1"/>
  <c r="G964" i="1"/>
  <c r="E964" i="1"/>
  <c r="D964" i="1"/>
  <c r="C964" i="1"/>
  <c r="K963" i="1"/>
  <c r="H963" i="1"/>
  <c r="G963" i="1"/>
  <c r="E963" i="1"/>
  <c r="D963" i="1"/>
  <c r="C963" i="1"/>
  <c r="K962" i="1"/>
  <c r="H962" i="1"/>
  <c r="G962" i="1"/>
  <c r="E962" i="1"/>
  <c r="D962" i="1"/>
  <c r="C962" i="1"/>
  <c r="K961" i="1"/>
  <c r="H961" i="1"/>
  <c r="G961" i="1"/>
  <c r="E961" i="1"/>
  <c r="D961" i="1"/>
  <c r="C961" i="1"/>
  <c r="K960" i="1"/>
  <c r="H960" i="1"/>
  <c r="G960" i="1"/>
  <c r="E960" i="1"/>
  <c r="D960" i="1"/>
  <c r="C960" i="1"/>
  <c r="K959" i="1"/>
  <c r="H959" i="1"/>
  <c r="G959" i="1"/>
  <c r="E959" i="1"/>
  <c r="D959" i="1"/>
  <c r="C959" i="1"/>
  <c r="K958" i="1"/>
  <c r="H958" i="1"/>
  <c r="G958" i="1"/>
  <c r="E958" i="1"/>
  <c r="D958" i="1"/>
  <c r="C958" i="1"/>
  <c r="K957" i="1"/>
  <c r="H957" i="1"/>
  <c r="G957" i="1"/>
  <c r="E957" i="1"/>
  <c r="D957" i="1"/>
  <c r="C957" i="1"/>
  <c r="K956" i="1"/>
  <c r="H956" i="1"/>
  <c r="G956" i="1"/>
  <c r="E956" i="1"/>
  <c r="D956" i="1"/>
  <c r="C956" i="1"/>
  <c r="K955" i="1"/>
  <c r="H955" i="1"/>
  <c r="G955" i="1"/>
  <c r="E955" i="1"/>
  <c r="D955" i="1"/>
  <c r="C955" i="1"/>
  <c r="K954" i="1"/>
  <c r="H954" i="1"/>
  <c r="G954" i="1"/>
  <c r="E954" i="1"/>
  <c r="D954" i="1"/>
  <c r="C954" i="1"/>
  <c r="K953" i="1"/>
  <c r="H953" i="1"/>
  <c r="G953" i="1"/>
  <c r="E953" i="1"/>
  <c r="D953" i="1"/>
  <c r="C953" i="1"/>
  <c r="K952" i="1"/>
  <c r="H952" i="1"/>
  <c r="G952" i="1"/>
  <c r="E952" i="1"/>
  <c r="D952" i="1"/>
  <c r="C952" i="1"/>
  <c r="K951" i="1"/>
  <c r="H951" i="1"/>
  <c r="G951" i="1"/>
  <c r="E951" i="1"/>
  <c r="D951" i="1"/>
  <c r="C951" i="1"/>
  <c r="K950" i="1"/>
  <c r="H950" i="1"/>
  <c r="G950" i="1"/>
  <c r="E950" i="1"/>
  <c r="D950" i="1"/>
  <c r="C950" i="1"/>
  <c r="K949" i="1"/>
  <c r="H949" i="1"/>
  <c r="G949" i="1"/>
  <c r="E949" i="1"/>
  <c r="D949" i="1"/>
  <c r="C949" i="1"/>
  <c r="K948" i="1"/>
  <c r="H948" i="1"/>
  <c r="G948" i="1"/>
  <c r="E948" i="1"/>
  <c r="D948" i="1"/>
  <c r="C948" i="1"/>
  <c r="K947" i="1"/>
  <c r="H947" i="1"/>
  <c r="G947" i="1"/>
  <c r="E947" i="1"/>
  <c r="D947" i="1"/>
  <c r="C947" i="1"/>
  <c r="K946" i="1"/>
  <c r="H946" i="1"/>
  <c r="G946" i="1"/>
  <c r="E946" i="1"/>
  <c r="D946" i="1"/>
  <c r="C946" i="1"/>
  <c r="K945" i="1"/>
  <c r="H945" i="1"/>
  <c r="G945" i="1"/>
  <c r="E945" i="1"/>
  <c r="D945" i="1"/>
  <c r="C945" i="1"/>
  <c r="K944" i="1"/>
  <c r="H944" i="1"/>
  <c r="G944" i="1"/>
  <c r="E944" i="1"/>
  <c r="D944" i="1"/>
  <c r="C944" i="1"/>
  <c r="K943" i="1"/>
  <c r="H943" i="1"/>
  <c r="G943" i="1"/>
  <c r="E943" i="1"/>
  <c r="D943" i="1"/>
  <c r="C943" i="1"/>
  <c r="K942" i="1"/>
  <c r="H942" i="1"/>
  <c r="G942" i="1"/>
  <c r="E942" i="1"/>
  <c r="D942" i="1"/>
  <c r="C942" i="1"/>
  <c r="K941" i="1"/>
  <c r="H941" i="1"/>
  <c r="G941" i="1"/>
  <c r="E941" i="1"/>
  <c r="D941" i="1"/>
  <c r="C941" i="1"/>
  <c r="K940" i="1"/>
  <c r="H940" i="1"/>
  <c r="G940" i="1"/>
  <c r="E940" i="1"/>
  <c r="D940" i="1"/>
  <c r="C940" i="1"/>
  <c r="K939" i="1"/>
  <c r="H939" i="1"/>
  <c r="G939" i="1"/>
  <c r="E939" i="1"/>
  <c r="D939" i="1"/>
  <c r="C939" i="1"/>
  <c r="K938" i="1"/>
  <c r="H938" i="1"/>
  <c r="G938" i="1"/>
  <c r="E938" i="1"/>
  <c r="D938" i="1"/>
  <c r="C938" i="1"/>
  <c r="K937" i="1"/>
  <c r="H937" i="1"/>
  <c r="G937" i="1"/>
  <c r="E937" i="1"/>
  <c r="D937" i="1"/>
  <c r="C937" i="1"/>
  <c r="K936" i="1"/>
  <c r="H936" i="1"/>
  <c r="G936" i="1"/>
  <c r="E936" i="1"/>
  <c r="D936" i="1"/>
  <c r="C936" i="1"/>
  <c r="K935" i="1"/>
  <c r="H935" i="1"/>
  <c r="G935" i="1"/>
  <c r="E935" i="1"/>
  <c r="D935" i="1"/>
  <c r="C935" i="1"/>
  <c r="K934" i="1"/>
  <c r="H934" i="1"/>
  <c r="G934" i="1"/>
  <c r="E934" i="1"/>
  <c r="D934" i="1"/>
  <c r="C934" i="1"/>
  <c r="K933" i="1"/>
  <c r="H933" i="1"/>
  <c r="G933" i="1"/>
  <c r="E933" i="1"/>
  <c r="D933" i="1"/>
  <c r="C933" i="1"/>
  <c r="K932" i="1"/>
  <c r="H932" i="1"/>
  <c r="G932" i="1"/>
  <c r="E932" i="1"/>
  <c r="D932" i="1"/>
  <c r="C932" i="1"/>
  <c r="K931" i="1"/>
  <c r="H931" i="1"/>
  <c r="G931" i="1"/>
  <c r="E931" i="1"/>
  <c r="D931" i="1"/>
  <c r="C931" i="1"/>
  <c r="K930" i="1"/>
  <c r="H930" i="1"/>
  <c r="G930" i="1"/>
  <c r="E930" i="1"/>
  <c r="D930" i="1"/>
  <c r="C930" i="1"/>
  <c r="K929" i="1"/>
  <c r="H929" i="1"/>
  <c r="G929" i="1"/>
  <c r="E929" i="1"/>
  <c r="D929" i="1"/>
  <c r="C929" i="1"/>
  <c r="K928" i="1"/>
  <c r="H928" i="1"/>
  <c r="G928" i="1"/>
  <c r="E928" i="1"/>
  <c r="D928" i="1"/>
  <c r="C928" i="1"/>
  <c r="K927" i="1"/>
  <c r="H927" i="1"/>
  <c r="G927" i="1"/>
  <c r="E927" i="1"/>
  <c r="D927" i="1"/>
  <c r="C927" i="1"/>
  <c r="K926" i="1"/>
  <c r="H926" i="1"/>
  <c r="G926" i="1"/>
  <c r="E926" i="1"/>
  <c r="D926" i="1"/>
  <c r="C926" i="1"/>
  <c r="K925" i="1"/>
  <c r="H925" i="1"/>
  <c r="G925" i="1"/>
  <c r="E925" i="1"/>
  <c r="D925" i="1"/>
  <c r="C925" i="1"/>
  <c r="K924" i="1"/>
  <c r="H924" i="1"/>
  <c r="G924" i="1"/>
  <c r="E924" i="1"/>
  <c r="D924" i="1"/>
  <c r="C924" i="1"/>
  <c r="K923" i="1"/>
  <c r="H923" i="1"/>
  <c r="G923" i="1"/>
  <c r="E923" i="1"/>
  <c r="D923" i="1"/>
  <c r="C923" i="1"/>
  <c r="K922" i="1"/>
  <c r="H922" i="1"/>
  <c r="G922" i="1"/>
  <c r="E922" i="1"/>
  <c r="D922" i="1"/>
  <c r="C922" i="1"/>
  <c r="K921" i="1"/>
  <c r="H921" i="1"/>
  <c r="G921" i="1"/>
  <c r="E921" i="1"/>
  <c r="D921" i="1"/>
  <c r="C921" i="1"/>
  <c r="K920" i="1"/>
  <c r="H920" i="1"/>
  <c r="G920" i="1"/>
  <c r="E920" i="1"/>
  <c r="D920" i="1"/>
  <c r="C920" i="1"/>
  <c r="K919" i="1"/>
  <c r="H919" i="1"/>
  <c r="G919" i="1"/>
  <c r="E919" i="1"/>
  <c r="D919" i="1"/>
  <c r="C919" i="1"/>
  <c r="K918" i="1"/>
  <c r="H918" i="1"/>
  <c r="G918" i="1"/>
  <c r="E918" i="1"/>
  <c r="D918" i="1"/>
  <c r="C918" i="1"/>
  <c r="K917" i="1"/>
  <c r="H917" i="1"/>
  <c r="G917" i="1"/>
  <c r="E917" i="1"/>
  <c r="D917" i="1"/>
  <c r="C917" i="1"/>
  <c r="K916" i="1"/>
  <c r="H916" i="1"/>
  <c r="G916" i="1"/>
  <c r="E916" i="1"/>
  <c r="D916" i="1"/>
  <c r="C916" i="1"/>
  <c r="K915" i="1"/>
  <c r="H915" i="1"/>
  <c r="G915" i="1"/>
  <c r="E915" i="1"/>
  <c r="D915" i="1"/>
  <c r="C915" i="1"/>
  <c r="K914" i="1"/>
  <c r="H914" i="1"/>
  <c r="G914" i="1"/>
  <c r="E914" i="1"/>
  <c r="D914" i="1"/>
  <c r="C914" i="1"/>
  <c r="K913" i="1"/>
  <c r="H913" i="1"/>
  <c r="G913" i="1"/>
  <c r="E913" i="1"/>
  <c r="D913" i="1"/>
  <c r="C913" i="1"/>
  <c r="K912" i="1"/>
  <c r="H912" i="1"/>
  <c r="G912" i="1"/>
  <c r="E912" i="1"/>
  <c r="D912" i="1"/>
  <c r="C912" i="1"/>
  <c r="K911" i="1"/>
  <c r="H911" i="1"/>
  <c r="G911" i="1"/>
  <c r="E911" i="1"/>
  <c r="D911" i="1"/>
  <c r="C911" i="1"/>
  <c r="K910" i="1"/>
  <c r="H910" i="1"/>
  <c r="G910" i="1"/>
  <c r="E910" i="1"/>
  <c r="D910" i="1"/>
  <c r="C910" i="1"/>
  <c r="K909" i="1"/>
  <c r="H909" i="1"/>
  <c r="G909" i="1"/>
  <c r="E909" i="1"/>
  <c r="D909" i="1"/>
  <c r="C909" i="1"/>
  <c r="K908" i="1"/>
  <c r="H908" i="1"/>
  <c r="G908" i="1"/>
  <c r="E908" i="1"/>
  <c r="D908" i="1"/>
  <c r="C908" i="1"/>
  <c r="K907" i="1"/>
  <c r="H907" i="1"/>
  <c r="G907" i="1"/>
  <c r="E907" i="1"/>
  <c r="D907" i="1"/>
  <c r="C907" i="1"/>
  <c r="K906" i="1"/>
  <c r="H906" i="1"/>
  <c r="G906" i="1"/>
  <c r="E906" i="1"/>
  <c r="D906" i="1"/>
  <c r="C906" i="1"/>
  <c r="K905" i="1"/>
  <c r="H905" i="1"/>
  <c r="G905" i="1"/>
  <c r="E905" i="1"/>
  <c r="D905" i="1"/>
  <c r="C905" i="1"/>
  <c r="K904" i="1"/>
  <c r="H904" i="1"/>
  <c r="G904" i="1"/>
  <c r="E904" i="1"/>
  <c r="D904" i="1"/>
  <c r="C904" i="1"/>
  <c r="K903" i="1"/>
  <c r="H903" i="1"/>
  <c r="G903" i="1"/>
  <c r="E903" i="1"/>
  <c r="D903" i="1"/>
  <c r="C903" i="1"/>
  <c r="K902" i="1"/>
  <c r="H902" i="1"/>
  <c r="G902" i="1"/>
  <c r="E902" i="1"/>
  <c r="D902" i="1"/>
  <c r="C902" i="1"/>
  <c r="K901" i="1"/>
  <c r="H901" i="1"/>
  <c r="G901" i="1"/>
  <c r="E901" i="1"/>
  <c r="D901" i="1"/>
  <c r="C901" i="1"/>
  <c r="K900" i="1"/>
  <c r="H900" i="1"/>
  <c r="G900" i="1"/>
  <c r="E900" i="1"/>
  <c r="D900" i="1"/>
  <c r="C900" i="1"/>
  <c r="K899" i="1"/>
  <c r="H899" i="1"/>
  <c r="G899" i="1"/>
  <c r="E899" i="1"/>
  <c r="D899" i="1"/>
  <c r="C899" i="1"/>
  <c r="K898" i="1"/>
  <c r="H898" i="1"/>
  <c r="G898" i="1"/>
  <c r="E898" i="1"/>
  <c r="D898" i="1"/>
  <c r="C898" i="1"/>
  <c r="K897" i="1"/>
  <c r="H897" i="1"/>
  <c r="G897" i="1"/>
  <c r="E897" i="1"/>
  <c r="D897" i="1"/>
  <c r="C897" i="1"/>
  <c r="K896" i="1"/>
  <c r="H896" i="1"/>
  <c r="G896" i="1"/>
  <c r="E896" i="1"/>
  <c r="D896" i="1"/>
  <c r="C896" i="1"/>
  <c r="K895" i="1"/>
  <c r="H895" i="1"/>
  <c r="G895" i="1"/>
  <c r="E895" i="1"/>
  <c r="D895" i="1"/>
  <c r="C895" i="1"/>
  <c r="K894" i="1"/>
  <c r="H894" i="1"/>
  <c r="G894" i="1"/>
  <c r="E894" i="1"/>
  <c r="D894" i="1"/>
  <c r="C894" i="1"/>
  <c r="K893" i="1"/>
  <c r="H893" i="1"/>
  <c r="G893" i="1"/>
  <c r="E893" i="1"/>
  <c r="D893" i="1"/>
  <c r="C893" i="1"/>
  <c r="K892" i="1"/>
  <c r="H892" i="1"/>
  <c r="G892" i="1"/>
  <c r="E892" i="1"/>
  <c r="D892" i="1"/>
  <c r="C892" i="1"/>
  <c r="K891" i="1"/>
  <c r="H891" i="1"/>
  <c r="G891" i="1"/>
  <c r="E891" i="1"/>
  <c r="D891" i="1"/>
  <c r="C891" i="1"/>
  <c r="K890" i="1"/>
  <c r="H890" i="1"/>
  <c r="G890" i="1"/>
  <c r="E890" i="1"/>
  <c r="D890" i="1"/>
  <c r="C890" i="1"/>
  <c r="K889" i="1"/>
  <c r="H889" i="1"/>
  <c r="G889" i="1"/>
  <c r="E889" i="1"/>
  <c r="D889" i="1"/>
  <c r="C889" i="1"/>
  <c r="K888" i="1"/>
  <c r="H888" i="1"/>
  <c r="G888" i="1"/>
  <c r="E888" i="1"/>
  <c r="D888" i="1"/>
  <c r="C888" i="1"/>
  <c r="K887" i="1"/>
  <c r="H887" i="1"/>
  <c r="G887" i="1"/>
  <c r="E887" i="1"/>
  <c r="D887" i="1"/>
  <c r="C887" i="1"/>
  <c r="K886" i="1"/>
  <c r="H886" i="1"/>
  <c r="G886" i="1"/>
  <c r="E886" i="1"/>
  <c r="D886" i="1"/>
  <c r="C886" i="1"/>
  <c r="K885" i="1"/>
  <c r="H885" i="1"/>
  <c r="G885" i="1"/>
  <c r="E885" i="1"/>
  <c r="D885" i="1"/>
  <c r="C885" i="1"/>
  <c r="K884" i="1"/>
  <c r="H884" i="1"/>
  <c r="G884" i="1"/>
  <c r="E884" i="1"/>
  <c r="D884" i="1"/>
  <c r="C884" i="1"/>
  <c r="K883" i="1"/>
  <c r="H883" i="1"/>
  <c r="G883" i="1"/>
  <c r="E883" i="1"/>
  <c r="D883" i="1"/>
  <c r="C883" i="1"/>
  <c r="K882" i="1"/>
  <c r="H882" i="1"/>
  <c r="G882" i="1"/>
  <c r="E882" i="1"/>
  <c r="D882" i="1"/>
  <c r="C882" i="1"/>
  <c r="K881" i="1"/>
  <c r="H881" i="1"/>
  <c r="G881" i="1"/>
  <c r="E881" i="1"/>
  <c r="D881" i="1"/>
  <c r="C881" i="1"/>
  <c r="K880" i="1"/>
  <c r="H880" i="1"/>
  <c r="G880" i="1"/>
  <c r="E880" i="1"/>
  <c r="D880" i="1"/>
  <c r="C880" i="1"/>
  <c r="K879" i="1"/>
  <c r="H879" i="1"/>
  <c r="G879" i="1"/>
  <c r="E879" i="1"/>
  <c r="D879" i="1"/>
  <c r="C879" i="1"/>
  <c r="K878" i="1"/>
  <c r="H878" i="1"/>
  <c r="G878" i="1"/>
  <c r="E878" i="1"/>
  <c r="D878" i="1"/>
  <c r="C878" i="1"/>
  <c r="K877" i="1"/>
  <c r="H877" i="1"/>
  <c r="G877" i="1"/>
  <c r="E877" i="1"/>
  <c r="D877" i="1"/>
  <c r="C877" i="1"/>
  <c r="K876" i="1"/>
  <c r="H876" i="1"/>
  <c r="G876" i="1"/>
  <c r="E876" i="1"/>
  <c r="D876" i="1"/>
  <c r="C876" i="1"/>
  <c r="K875" i="1"/>
  <c r="H875" i="1"/>
  <c r="G875" i="1"/>
  <c r="E875" i="1"/>
  <c r="D875" i="1"/>
  <c r="C875" i="1"/>
  <c r="K874" i="1"/>
  <c r="H874" i="1"/>
  <c r="G874" i="1"/>
  <c r="E874" i="1"/>
  <c r="D874" i="1"/>
  <c r="C874" i="1"/>
  <c r="K873" i="1"/>
  <c r="H873" i="1"/>
  <c r="G873" i="1"/>
  <c r="E873" i="1"/>
  <c r="D873" i="1"/>
  <c r="C873" i="1"/>
  <c r="K872" i="1"/>
  <c r="H872" i="1"/>
  <c r="G872" i="1"/>
  <c r="E872" i="1"/>
  <c r="D872" i="1"/>
  <c r="C872" i="1"/>
  <c r="K871" i="1"/>
  <c r="H871" i="1"/>
  <c r="G871" i="1"/>
  <c r="E871" i="1"/>
  <c r="D871" i="1"/>
  <c r="C871" i="1"/>
  <c r="K870" i="1"/>
  <c r="H870" i="1"/>
  <c r="G870" i="1"/>
  <c r="E870" i="1"/>
  <c r="D870" i="1"/>
  <c r="C870" i="1"/>
  <c r="K869" i="1"/>
  <c r="H869" i="1"/>
  <c r="G869" i="1"/>
  <c r="E869" i="1"/>
  <c r="D869" i="1"/>
  <c r="C869" i="1"/>
  <c r="K868" i="1"/>
  <c r="H868" i="1"/>
  <c r="G868" i="1"/>
  <c r="E868" i="1"/>
  <c r="D868" i="1"/>
  <c r="C868" i="1"/>
  <c r="K867" i="1"/>
  <c r="H867" i="1"/>
  <c r="G867" i="1"/>
  <c r="E867" i="1"/>
  <c r="D867" i="1"/>
  <c r="C867" i="1"/>
  <c r="K866" i="1"/>
  <c r="H866" i="1"/>
  <c r="G866" i="1"/>
  <c r="E866" i="1"/>
  <c r="D866" i="1"/>
  <c r="C866" i="1"/>
  <c r="K865" i="1"/>
  <c r="H865" i="1"/>
  <c r="G865" i="1"/>
  <c r="E865" i="1"/>
  <c r="D865" i="1"/>
  <c r="C865" i="1"/>
  <c r="K864" i="1"/>
  <c r="H864" i="1"/>
  <c r="G864" i="1"/>
  <c r="E864" i="1"/>
  <c r="D864" i="1"/>
  <c r="C864" i="1"/>
  <c r="K863" i="1"/>
  <c r="H863" i="1"/>
  <c r="G863" i="1"/>
  <c r="E863" i="1"/>
  <c r="D863" i="1"/>
  <c r="C863" i="1"/>
  <c r="K862" i="1"/>
  <c r="H862" i="1"/>
  <c r="G862" i="1"/>
  <c r="E862" i="1"/>
  <c r="D862" i="1"/>
  <c r="C862" i="1"/>
  <c r="K861" i="1"/>
  <c r="H861" i="1"/>
  <c r="G861" i="1"/>
  <c r="E861" i="1"/>
  <c r="D861" i="1"/>
  <c r="C861" i="1"/>
  <c r="K860" i="1"/>
  <c r="H860" i="1"/>
  <c r="G860" i="1"/>
  <c r="E860" i="1"/>
  <c r="D860" i="1"/>
  <c r="C860" i="1"/>
  <c r="K859" i="1"/>
  <c r="H859" i="1"/>
  <c r="G859" i="1"/>
  <c r="E859" i="1"/>
  <c r="D859" i="1"/>
  <c r="C859" i="1"/>
  <c r="K858" i="1"/>
  <c r="H858" i="1"/>
  <c r="G858" i="1"/>
  <c r="E858" i="1"/>
  <c r="D858" i="1"/>
  <c r="C858" i="1"/>
  <c r="K857" i="1"/>
  <c r="H857" i="1"/>
  <c r="G857" i="1"/>
  <c r="E857" i="1"/>
  <c r="D857" i="1"/>
  <c r="C857" i="1"/>
  <c r="K856" i="1"/>
  <c r="H856" i="1"/>
  <c r="G856" i="1"/>
  <c r="E856" i="1"/>
  <c r="D856" i="1"/>
  <c r="C856" i="1"/>
  <c r="K855" i="1"/>
  <c r="H855" i="1"/>
  <c r="G855" i="1"/>
  <c r="E855" i="1"/>
  <c r="D855" i="1"/>
  <c r="C855" i="1"/>
  <c r="K854" i="1"/>
  <c r="H854" i="1"/>
  <c r="G854" i="1"/>
  <c r="E854" i="1"/>
  <c r="D854" i="1"/>
  <c r="C854" i="1"/>
  <c r="K853" i="1"/>
  <c r="H853" i="1"/>
  <c r="G853" i="1"/>
  <c r="E853" i="1"/>
  <c r="D853" i="1"/>
  <c r="C853" i="1"/>
  <c r="K852" i="1"/>
  <c r="H852" i="1"/>
  <c r="G852" i="1"/>
  <c r="E852" i="1"/>
  <c r="D852" i="1"/>
  <c r="C852" i="1"/>
  <c r="K851" i="1"/>
  <c r="H851" i="1"/>
  <c r="G851" i="1"/>
  <c r="E851" i="1"/>
  <c r="D851" i="1"/>
  <c r="C851" i="1"/>
  <c r="K850" i="1"/>
  <c r="H850" i="1"/>
  <c r="G850" i="1"/>
  <c r="E850" i="1"/>
  <c r="D850" i="1"/>
  <c r="C850" i="1"/>
  <c r="K849" i="1"/>
  <c r="H849" i="1"/>
  <c r="G849" i="1"/>
  <c r="E849" i="1"/>
  <c r="D849" i="1"/>
  <c r="C849" i="1"/>
  <c r="K848" i="1"/>
  <c r="H848" i="1"/>
  <c r="G848" i="1"/>
  <c r="E848" i="1"/>
  <c r="D848" i="1"/>
  <c r="C848" i="1"/>
  <c r="K847" i="1"/>
  <c r="H847" i="1"/>
  <c r="G847" i="1"/>
  <c r="E847" i="1"/>
  <c r="D847" i="1"/>
  <c r="C847" i="1"/>
  <c r="K846" i="1"/>
  <c r="H846" i="1"/>
  <c r="G846" i="1"/>
  <c r="E846" i="1"/>
  <c r="D846" i="1"/>
  <c r="C846" i="1"/>
  <c r="K845" i="1"/>
  <c r="H845" i="1"/>
  <c r="G845" i="1"/>
  <c r="E845" i="1"/>
  <c r="D845" i="1"/>
  <c r="C845" i="1"/>
  <c r="K844" i="1"/>
  <c r="H844" i="1"/>
  <c r="G844" i="1"/>
  <c r="E844" i="1"/>
  <c r="D844" i="1"/>
  <c r="C844" i="1"/>
  <c r="K843" i="1"/>
  <c r="H843" i="1"/>
  <c r="G843" i="1"/>
  <c r="E843" i="1"/>
  <c r="D843" i="1"/>
  <c r="C843" i="1"/>
  <c r="K842" i="1"/>
  <c r="H842" i="1"/>
  <c r="G842" i="1"/>
  <c r="E842" i="1"/>
  <c r="D842" i="1"/>
  <c r="C842" i="1"/>
  <c r="K841" i="1"/>
  <c r="H841" i="1"/>
  <c r="G841" i="1"/>
  <c r="E841" i="1"/>
  <c r="D841" i="1"/>
  <c r="C841" i="1"/>
  <c r="K840" i="1"/>
  <c r="H840" i="1"/>
  <c r="G840" i="1"/>
  <c r="E840" i="1"/>
  <c r="D840" i="1"/>
  <c r="C840" i="1"/>
  <c r="K839" i="1"/>
  <c r="H839" i="1"/>
  <c r="G839" i="1"/>
  <c r="E839" i="1"/>
  <c r="D839" i="1"/>
  <c r="C839" i="1"/>
  <c r="K838" i="1"/>
  <c r="H838" i="1"/>
  <c r="G838" i="1"/>
  <c r="E838" i="1"/>
  <c r="D838" i="1"/>
  <c r="C838" i="1"/>
  <c r="K837" i="1"/>
  <c r="H837" i="1"/>
  <c r="G837" i="1"/>
  <c r="E837" i="1"/>
  <c r="D837" i="1"/>
  <c r="C837" i="1"/>
  <c r="K836" i="1"/>
  <c r="H836" i="1"/>
  <c r="G836" i="1"/>
  <c r="E836" i="1"/>
  <c r="D836" i="1"/>
  <c r="C836" i="1"/>
  <c r="K835" i="1"/>
  <c r="H835" i="1"/>
  <c r="G835" i="1"/>
  <c r="E835" i="1"/>
  <c r="D835" i="1"/>
  <c r="C835" i="1"/>
  <c r="K834" i="1"/>
  <c r="H834" i="1"/>
  <c r="G834" i="1"/>
  <c r="E834" i="1"/>
  <c r="D834" i="1"/>
  <c r="C834" i="1"/>
  <c r="K833" i="1"/>
  <c r="H833" i="1"/>
  <c r="G833" i="1"/>
  <c r="E833" i="1"/>
  <c r="D833" i="1"/>
  <c r="C833" i="1"/>
  <c r="K832" i="1"/>
  <c r="H832" i="1"/>
  <c r="G832" i="1"/>
  <c r="E832" i="1"/>
  <c r="D832" i="1"/>
  <c r="C832" i="1"/>
  <c r="K831" i="1"/>
  <c r="H831" i="1"/>
  <c r="G831" i="1"/>
  <c r="E831" i="1"/>
  <c r="D831" i="1"/>
  <c r="C831" i="1"/>
  <c r="K830" i="1"/>
  <c r="H830" i="1"/>
  <c r="G830" i="1"/>
  <c r="E830" i="1"/>
  <c r="D830" i="1"/>
  <c r="C830" i="1"/>
  <c r="K829" i="1"/>
  <c r="H829" i="1"/>
  <c r="G829" i="1"/>
  <c r="E829" i="1"/>
  <c r="D829" i="1"/>
  <c r="C829" i="1"/>
  <c r="K828" i="1"/>
  <c r="H828" i="1"/>
  <c r="G828" i="1"/>
  <c r="E828" i="1"/>
  <c r="D828" i="1"/>
  <c r="C828" i="1"/>
  <c r="K827" i="1"/>
  <c r="H827" i="1"/>
  <c r="G827" i="1"/>
  <c r="E827" i="1"/>
  <c r="D827" i="1"/>
  <c r="C827" i="1"/>
  <c r="K826" i="1"/>
  <c r="H826" i="1"/>
  <c r="G826" i="1"/>
  <c r="E826" i="1"/>
  <c r="D826" i="1"/>
  <c r="C826" i="1"/>
  <c r="K825" i="1"/>
  <c r="H825" i="1"/>
  <c r="G825" i="1"/>
  <c r="E825" i="1"/>
  <c r="D825" i="1"/>
  <c r="C825" i="1"/>
  <c r="K824" i="1"/>
  <c r="H824" i="1"/>
  <c r="G824" i="1"/>
  <c r="E824" i="1"/>
  <c r="D824" i="1"/>
  <c r="C824" i="1"/>
  <c r="K823" i="1"/>
  <c r="H823" i="1"/>
  <c r="G823" i="1"/>
  <c r="E823" i="1"/>
  <c r="D823" i="1"/>
  <c r="C823" i="1"/>
  <c r="K822" i="1"/>
  <c r="H822" i="1"/>
  <c r="G822" i="1"/>
  <c r="E822" i="1"/>
  <c r="D822" i="1"/>
  <c r="C822" i="1"/>
  <c r="K821" i="1"/>
  <c r="H821" i="1"/>
  <c r="G821" i="1"/>
  <c r="E821" i="1"/>
  <c r="D821" i="1"/>
  <c r="C821" i="1"/>
  <c r="K820" i="1"/>
  <c r="H820" i="1"/>
  <c r="G820" i="1"/>
  <c r="E820" i="1"/>
  <c r="D820" i="1"/>
  <c r="C820" i="1"/>
  <c r="K819" i="1"/>
  <c r="H819" i="1"/>
  <c r="G819" i="1"/>
  <c r="E819" i="1"/>
  <c r="D819" i="1"/>
  <c r="C819" i="1"/>
  <c r="K818" i="1"/>
  <c r="H818" i="1"/>
  <c r="G818" i="1"/>
  <c r="E818" i="1"/>
  <c r="D818" i="1"/>
  <c r="C818" i="1"/>
  <c r="K817" i="1"/>
  <c r="H817" i="1"/>
  <c r="G817" i="1"/>
  <c r="E817" i="1"/>
  <c r="D817" i="1"/>
  <c r="C817" i="1"/>
  <c r="K816" i="1"/>
  <c r="H816" i="1"/>
  <c r="G816" i="1"/>
  <c r="E816" i="1"/>
  <c r="D816" i="1"/>
  <c r="C816" i="1"/>
  <c r="K815" i="1"/>
  <c r="H815" i="1"/>
  <c r="G815" i="1"/>
  <c r="E815" i="1"/>
  <c r="D815" i="1"/>
  <c r="C815" i="1"/>
  <c r="K814" i="1"/>
  <c r="H814" i="1"/>
  <c r="G814" i="1"/>
  <c r="E814" i="1"/>
  <c r="D814" i="1"/>
  <c r="C814" i="1"/>
  <c r="K813" i="1"/>
  <c r="H813" i="1"/>
  <c r="G813" i="1"/>
  <c r="E813" i="1"/>
  <c r="D813" i="1"/>
  <c r="C813" i="1"/>
  <c r="K812" i="1"/>
  <c r="H812" i="1"/>
  <c r="G812" i="1"/>
  <c r="E812" i="1"/>
  <c r="D812" i="1"/>
  <c r="C812" i="1"/>
  <c r="K811" i="1"/>
  <c r="H811" i="1"/>
  <c r="G811" i="1"/>
  <c r="E811" i="1"/>
  <c r="D811" i="1"/>
  <c r="C811" i="1"/>
  <c r="K810" i="1"/>
  <c r="H810" i="1"/>
  <c r="G810" i="1"/>
  <c r="E810" i="1"/>
  <c r="D810" i="1"/>
  <c r="C810" i="1"/>
  <c r="K809" i="1"/>
  <c r="H809" i="1"/>
  <c r="G809" i="1"/>
  <c r="E809" i="1"/>
  <c r="D809" i="1"/>
  <c r="C809" i="1"/>
  <c r="K808" i="1"/>
  <c r="H808" i="1"/>
  <c r="G808" i="1"/>
  <c r="E808" i="1"/>
  <c r="D808" i="1"/>
  <c r="C808" i="1"/>
  <c r="K807" i="1"/>
  <c r="H807" i="1"/>
  <c r="G807" i="1"/>
  <c r="E807" i="1"/>
  <c r="D807" i="1"/>
  <c r="C807" i="1"/>
  <c r="K806" i="1"/>
  <c r="H806" i="1"/>
  <c r="G806" i="1"/>
  <c r="E806" i="1"/>
  <c r="D806" i="1"/>
  <c r="C806" i="1"/>
  <c r="K805" i="1"/>
  <c r="H805" i="1"/>
  <c r="G805" i="1"/>
  <c r="E805" i="1"/>
  <c r="D805" i="1"/>
  <c r="C805" i="1"/>
  <c r="K804" i="1"/>
  <c r="H804" i="1"/>
  <c r="G804" i="1"/>
  <c r="E804" i="1"/>
  <c r="D804" i="1"/>
  <c r="C804" i="1"/>
  <c r="K803" i="1"/>
  <c r="H803" i="1"/>
  <c r="G803" i="1"/>
  <c r="E803" i="1"/>
  <c r="D803" i="1"/>
  <c r="C803" i="1"/>
  <c r="K802" i="1"/>
  <c r="H802" i="1"/>
  <c r="G802" i="1"/>
  <c r="E802" i="1"/>
  <c r="D802" i="1"/>
  <c r="C802" i="1"/>
  <c r="K801" i="1"/>
  <c r="H801" i="1"/>
  <c r="G801" i="1"/>
  <c r="E801" i="1"/>
  <c r="D801" i="1"/>
  <c r="C801" i="1"/>
  <c r="K800" i="1"/>
  <c r="H800" i="1"/>
  <c r="G800" i="1"/>
  <c r="E800" i="1"/>
  <c r="D800" i="1"/>
  <c r="C800" i="1"/>
  <c r="K799" i="1"/>
  <c r="H799" i="1"/>
  <c r="G799" i="1"/>
  <c r="E799" i="1"/>
  <c r="D799" i="1"/>
  <c r="C799" i="1"/>
  <c r="K798" i="1"/>
  <c r="H798" i="1"/>
  <c r="G798" i="1"/>
  <c r="E798" i="1"/>
  <c r="D798" i="1"/>
  <c r="C798" i="1"/>
  <c r="K797" i="1"/>
  <c r="H797" i="1"/>
  <c r="G797" i="1"/>
  <c r="E797" i="1"/>
  <c r="D797" i="1"/>
  <c r="C797" i="1"/>
  <c r="K796" i="1"/>
  <c r="H796" i="1"/>
  <c r="G796" i="1"/>
  <c r="E796" i="1"/>
  <c r="D796" i="1"/>
  <c r="C796" i="1"/>
  <c r="K795" i="1"/>
  <c r="H795" i="1"/>
  <c r="G795" i="1"/>
  <c r="E795" i="1"/>
  <c r="D795" i="1"/>
  <c r="C795" i="1"/>
  <c r="K794" i="1"/>
  <c r="H794" i="1"/>
  <c r="G794" i="1"/>
  <c r="E794" i="1"/>
  <c r="D794" i="1"/>
  <c r="C794" i="1"/>
  <c r="K793" i="1"/>
  <c r="H793" i="1"/>
  <c r="G793" i="1"/>
  <c r="E793" i="1"/>
  <c r="D793" i="1"/>
  <c r="C793" i="1"/>
  <c r="K792" i="1"/>
  <c r="H792" i="1"/>
  <c r="G792" i="1"/>
  <c r="E792" i="1"/>
  <c r="D792" i="1"/>
  <c r="C792" i="1"/>
  <c r="K791" i="1"/>
  <c r="H791" i="1"/>
  <c r="G791" i="1"/>
  <c r="E791" i="1"/>
  <c r="D791" i="1"/>
  <c r="C791" i="1"/>
  <c r="K790" i="1"/>
  <c r="H790" i="1"/>
  <c r="G790" i="1"/>
  <c r="E790" i="1"/>
  <c r="D790" i="1"/>
  <c r="C790" i="1"/>
  <c r="K789" i="1"/>
  <c r="H789" i="1"/>
  <c r="G789" i="1"/>
  <c r="E789" i="1"/>
  <c r="D789" i="1"/>
  <c r="C789" i="1"/>
  <c r="K788" i="1"/>
  <c r="H788" i="1"/>
  <c r="G788" i="1"/>
  <c r="E788" i="1"/>
  <c r="D788" i="1"/>
  <c r="C788" i="1"/>
  <c r="K787" i="1"/>
  <c r="H787" i="1"/>
  <c r="G787" i="1"/>
  <c r="E787" i="1"/>
  <c r="D787" i="1"/>
  <c r="C787" i="1"/>
  <c r="K786" i="1"/>
  <c r="H786" i="1"/>
  <c r="G786" i="1"/>
  <c r="E786" i="1"/>
  <c r="D786" i="1"/>
  <c r="C786" i="1"/>
  <c r="K785" i="1"/>
  <c r="H785" i="1"/>
  <c r="G785" i="1"/>
  <c r="E785" i="1"/>
  <c r="D785" i="1"/>
  <c r="C785" i="1"/>
  <c r="K784" i="1"/>
  <c r="H784" i="1"/>
  <c r="G784" i="1"/>
  <c r="E784" i="1"/>
  <c r="D784" i="1"/>
  <c r="C784" i="1"/>
  <c r="K783" i="1"/>
  <c r="H783" i="1"/>
  <c r="G783" i="1"/>
  <c r="E783" i="1"/>
  <c r="D783" i="1"/>
  <c r="C783" i="1"/>
  <c r="K782" i="1"/>
  <c r="H782" i="1"/>
  <c r="G782" i="1"/>
  <c r="E782" i="1"/>
  <c r="D782" i="1"/>
  <c r="C782" i="1"/>
  <c r="K781" i="1"/>
  <c r="H781" i="1"/>
  <c r="G781" i="1"/>
  <c r="E781" i="1"/>
  <c r="D781" i="1"/>
  <c r="C781" i="1"/>
  <c r="K780" i="1"/>
  <c r="H780" i="1"/>
  <c r="G780" i="1"/>
  <c r="E780" i="1"/>
  <c r="D780" i="1"/>
  <c r="C780" i="1"/>
  <c r="K779" i="1"/>
  <c r="H779" i="1"/>
  <c r="G779" i="1"/>
  <c r="E779" i="1"/>
  <c r="D779" i="1"/>
  <c r="C779" i="1"/>
  <c r="K778" i="1"/>
  <c r="H778" i="1"/>
  <c r="G778" i="1"/>
  <c r="E778" i="1"/>
  <c r="D778" i="1"/>
  <c r="C778" i="1"/>
  <c r="K777" i="1"/>
  <c r="H777" i="1"/>
  <c r="G777" i="1"/>
  <c r="E777" i="1"/>
  <c r="D777" i="1"/>
  <c r="C777" i="1"/>
  <c r="K776" i="1"/>
  <c r="H776" i="1"/>
  <c r="G776" i="1"/>
  <c r="E776" i="1"/>
  <c r="D776" i="1"/>
  <c r="C776" i="1"/>
  <c r="K775" i="1"/>
  <c r="H775" i="1"/>
  <c r="G775" i="1"/>
  <c r="E775" i="1"/>
  <c r="D775" i="1"/>
  <c r="C775" i="1"/>
  <c r="K774" i="1"/>
  <c r="H774" i="1"/>
  <c r="G774" i="1"/>
  <c r="E774" i="1"/>
  <c r="D774" i="1"/>
  <c r="C774" i="1"/>
  <c r="K773" i="1"/>
  <c r="H773" i="1"/>
  <c r="G773" i="1"/>
  <c r="E773" i="1"/>
  <c r="D773" i="1"/>
  <c r="C773" i="1"/>
  <c r="K772" i="1"/>
  <c r="H772" i="1"/>
  <c r="G772" i="1"/>
  <c r="E772" i="1"/>
  <c r="D772" i="1"/>
  <c r="C772" i="1"/>
  <c r="K771" i="1"/>
  <c r="H771" i="1"/>
  <c r="G771" i="1"/>
  <c r="E771" i="1"/>
  <c r="D771" i="1"/>
  <c r="C771" i="1"/>
  <c r="K770" i="1"/>
  <c r="H770" i="1"/>
  <c r="G770" i="1"/>
  <c r="E770" i="1"/>
  <c r="D770" i="1"/>
  <c r="C770" i="1"/>
  <c r="K769" i="1"/>
  <c r="H769" i="1"/>
  <c r="G769" i="1"/>
  <c r="E769" i="1"/>
  <c r="D769" i="1"/>
  <c r="C769" i="1"/>
  <c r="K768" i="1"/>
  <c r="H768" i="1"/>
  <c r="G768" i="1"/>
  <c r="E768" i="1"/>
  <c r="D768" i="1"/>
  <c r="C768" i="1"/>
  <c r="K767" i="1"/>
  <c r="H767" i="1"/>
  <c r="G767" i="1"/>
  <c r="E767" i="1"/>
  <c r="D767" i="1"/>
  <c r="C767" i="1"/>
  <c r="K766" i="1"/>
  <c r="H766" i="1"/>
  <c r="G766" i="1"/>
  <c r="E766" i="1"/>
  <c r="D766" i="1"/>
  <c r="C766" i="1"/>
  <c r="K765" i="1"/>
  <c r="H765" i="1"/>
  <c r="G765" i="1"/>
  <c r="E765" i="1"/>
  <c r="D765" i="1"/>
  <c r="C765" i="1"/>
  <c r="K764" i="1"/>
  <c r="H764" i="1"/>
  <c r="G764" i="1"/>
  <c r="E764" i="1"/>
  <c r="D764" i="1"/>
  <c r="C764" i="1"/>
  <c r="K763" i="1"/>
  <c r="H763" i="1"/>
  <c r="G763" i="1"/>
  <c r="E763" i="1"/>
  <c r="D763" i="1"/>
  <c r="C763" i="1"/>
  <c r="K762" i="1"/>
  <c r="H762" i="1"/>
  <c r="G762" i="1"/>
  <c r="E762" i="1"/>
  <c r="D762" i="1"/>
  <c r="C762" i="1"/>
  <c r="K761" i="1"/>
  <c r="H761" i="1"/>
  <c r="G761" i="1"/>
  <c r="E761" i="1"/>
  <c r="D761" i="1"/>
  <c r="C761" i="1"/>
  <c r="K760" i="1"/>
  <c r="H760" i="1"/>
  <c r="G760" i="1"/>
  <c r="E760" i="1"/>
  <c r="D760" i="1"/>
  <c r="C760" i="1"/>
  <c r="K759" i="1"/>
  <c r="H759" i="1"/>
  <c r="G759" i="1"/>
  <c r="E759" i="1"/>
  <c r="D759" i="1"/>
  <c r="C759" i="1"/>
  <c r="K758" i="1"/>
  <c r="H758" i="1"/>
  <c r="G758" i="1"/>
  <c r="E758" i="1"/>
  <c r="D758" i="1"/>
  <c r="C758" i="1"/>
  <c r="K757" i="1"/>
  <c r="H757" i="1"/>
  <c r="G757" i="1"/>
  <c r="E757" i="1"/>
  <c r="D757" i="1"/>
  <c r="C757" i="1"/>
  <c r="K756" i="1"/>
  <c r="H756" i="1"/>
  <c r="G756" i="1"/>
  <c r="E756" i="1"/>
  <c r="D756" i="1"/>
  <c r="C756" i="1"/>
  <c r="K755" i="1"/>
  <c r="H755" i="1"/>
  <c r="G755" i="1"/>
  <c r="E755" i="1"/>
  <c r="D755" i="1"/>
  <c r="C755" i="1"/>
  <c r="K754" i="1"/>
  <c r="H754" i="1"/>
  <c r="G754" i="1"/>
  <c r="E754" i="1"/>
  <c r="D754" i="1"/>
  <c r="C754" i="1"/>
  <c r="K753" i="1"/>
  <c r="H753" i="1"/>
  <c r="G753" i="1"/>
  <c r="E753" i="1"/>
  <c r="D753" i="1"/>
  <c r="C753" i="1"/>
  <c r="K752" i="1"/>
  <c r="H752" i="1"/>
  <c r="G752" i="1"/>
  <c r="E752" i="1"/>
  <c r="D752" i="1"/>
  <c r="C752" i="1"/>
  <c r="K751" i="1"/>
  <c r="H751" i="1"/>
  <c r="G751" i="1"/>
  <c r="E751" i="1"/>
  <c r="D751" i="1"/>
  <c r="C751" i="1"/>
  <c r="K750" i="1"/>
  <c r="H750" i="1"/>
  <c r="G750" i="1"/>
  <c r="E750" i="1"/>
  <c r="D750" i="1"/>
  <c r="C750" i="1"/>
  <c r="K749" i="1"/>
  <c r="H749" i="1"/>
  <c r="G749" i="1"/>
  <c r="E749" i="1"/>
  <c r="D749" i="1"/>
  <c r="C749" i="1"/>
  <c r="K748" i="1"/>
  <c r="H748" i="1"/>
  <c r="G748" i="1"/>
  <c r="E748" i="1"/>
  <c r="D748" i="1"/>
  <c r="C748" i="1"/>
  <c r="K747" i="1"/>
  <c r="H747" i="1"/>
  <c r="G747" i="1"/>
  <c r="E747" i="1"/>
  <c r="D747" i="1"/>
  <c r="C747" i="1"/>
  <c r="K746" i="1"/>
  <c r="H746" i="1"/>
  <c r="G746" i="1"/>
  <c r="E746" i="1"/>
  <c r="D746" i="1"/>
  <c r="C746" i="1"/>
  <c r="K745" i="1"/>
  <c r="H745" i="1"/>
  <c r="G745" i="1"/>
  <c r="E745" i="1"/>
  <c r="D745" i="1"/>
  <c r="C745" i="1"/>
  <c r="K744" i="1"/>
  <c r="H744" i="1"/>
  <c r="G744" i="1"/>
  <c r="E744" i="1"/>
  <c r="D744" i="1"/>
  <c r="C744" i="1"/>
  <c r="K743" i="1"/>
  <c r="H743" i="1"/>
  <c r="G743" i="1"/>
  <c r="E743" i="1"/>
  <c r="D743" i="1"/>
  <c r="C743" i="1"/>
  <c r="K742" i="1"/>
  <c r="H742" i="1"/>
  <c r="G742" i="1"/>
  <c r="E742" i="1"/>
  <c r="D742" i="1"/>
  <c r="C742" i="1"/>
  <c r="K741" i="1"/>
  <c r="H741" i="1"/>
  <c r="G741" i="1"/>
  <c r="E741" i="1"/>
  <c r="D741" i="1"/>
  <c r="C741" i="1"/>
  <c r="K740" i="1"/>
  <c r="H740" i="1"/>
  <c r="G740" i="1"/>
  <c r="E740" i="1"/>
  <c r="D740" i="1"/>
  <c r="C740" i="1"/>
  <c r="K739" i="1"/>
  <c r="H739" i="1"/>
  <c r="G739" i="1"/>
  <c r="E739" i="1"/>
  <c r="D739" i="1"/>
  <c r="C739" i="1"/>
  <c r="K738" i="1"/>
  <c r="H738" i="1"/>
  <c r="G738" i="1"/>
  <c r="E738" i="1"/>
  <c r="D738" i="1"/>
  <c r="C738" i="1"/>
  <c r="K737" i="1"/>
  <c r="H737" i="1"/>
  <c r="G737" i="1"/>
  <c r="E737" i="1"/>
  <c r="D737" i="1"/>
  <c r="C737" i="1"/>
  <c r="K736" i="1"/>
  <c r="H736" i="1"/>
  <c r="G736" i="1"/>
  <c r="E736" i="1"/>
  <c r="D736" i="1"/>
  <c r="C736" i="1"/>
  <c r="K735" i="1"/>
  <c r="H735" i="1"/>
  <c r="G735" i="1"/>
  <c r="E735" i="1"/>
  <c r="D735" i="1"/>
  <c r="C735" i="1"/>
  <c r="K734" i="1"/>
  <c r="H734" i="1"/>
  <c r="G734" i="1"/>
  <c r="E734" i="1"/>
  <c r="D734" i="1"/>
  <c r="C734" i="1"/>
  <c r="K733" i="1"/>
  <c r="H733" i="1"/>
  <c r="G733" i="1"/>
  <c r="E733" i="1"/>
  <c r="D733" i="1"/>
  <c r="C733" i="1"/>
  <c r="K732" i="1"/>
  <c r="H732" i="1"/>
  <c r="G732" i="1"/>
  <c r="E732" i="1"/>
  <c r="D732" i="1"/>
  <c r="C732" i="1"/>
  <c r="K731" i="1"/>
  <c r="H731" i="1"/>
  <c r="G731" i="1"/>
  <c r="E731" i="1"/>
  <c r="D731" i="1"/>
  <c r="C731" i="1"/>
  <c r="K730" i="1"/>
  <c r="H730" i="1"/>
  <c r="G730" i="1"/>
  <c r="E730" i="1"/>
  <c r="D730" i="1"/>
  <c r="C730" i="1"/>
  <c r="K729" i="1"/>
  <c r="H729" i="1"/>
  <c r="G729" i="1"/>
  <c r="E729" i="1"/>
  <c r="D729" i="1"/>
  <c r="C729" i="1"/>
  <c r="K728" i="1"/>
  <c r="H728" i="1"/>
  <c r="G728" i="1"/>
  <c r="E728" i="1"/>
  <c r="D728" i="1"/>
  <c r="C728" i="1"/>
  <c r="K727" i="1"/>
  <c r="H727" i="1"/>
  <c r="G727" i="1"/>
  <c r="E727" i="1"/>
  <c r="D727" i="1"/>
  <c r="C727" i="1"/>
  <c r="K726" i="1"/>
  <c r="H726" i="1"/>
  <c r="G726" i="1"/>
  <c r="E726" i="1"/>
  <c r="D726" i="1"/>
  <c r="C726" i="1"/>
  <c r="K725" i="1"/>
  <c r="H725" i="1"/>
  <c r="G725" i="1"/>
  <c r="E725" i="1"/>
  <c r="D725" i="1"/>
  <c r="C725" i="1"/>
  <c r="K724" i="1"/>
  <c r="H724" i="1"/>
  <c r="G724" i="1"/>
  <c r="E724" i="1"/>
  <c r="D724" i="1"/>
  <c r="C724" i="1"/>
  <c r="K723" i="1"/>
  <c r="H723" i="1"/>
  <c r="G723" i="1"/>
  <c r="E723" i="1"/>
  <c r="D723" i="1"/>
  <c r="C723" i="1"/>
  <c r="K722" i="1"/>
  <c r="H722" i="1"/>
  <c r="G722" i="1"/>
  <c r="E722" i="1"/>
  <c r="D722" i="1"/>
  <c r="C722" i="1"/>
  <c r="K721" i="1"/>
  <c r="H721" i="1"/>
  <c r="G721" i="1"/>
  <c r="E721" i="1"/>
  <c r="D721" i="1"/>
  <c r="C721" i="1"/>
  <c r="K720" i="1"/>
  <c r="H720" i="1"/>
  <c r="G720" i="1"/>
  <c r="E720" i="1"/>
  <c r="D720" i="1"/>
  <c r="C720" i="1"/>
  <c r="K719" i="1"/>
  <c r="H719" i="1"/>
  <c r="G719" i="1"/>
  <c r="E719" i="1"/>
  <c r="D719" i="1"/>
  <c r="C719" i="1"/>
  <c r="K718" i="1"/>
  <c r="H718" i="1"/>
  <c r="G718" i="1"/>
  <c r="E718" i="1"/>
  <c r="D718" i="1"/>
  <c r="C718" i="1"/>
  <c r="K717" i="1"/>
  <c r="H717" i="1"/>
  <c r="G717" i="1"/>
  <c r="E717" i="1"/>
  <c r="D717" i="1"/>
  <c r="C717" i="1"/>
  <c r="K716" i="1"/>
  <c r="H716" i="1"/>
  <c r="G716" i="1"/>
  <c r="E716" i="1"/>
  <c r="D716" i="1"/>
  <c r="C716" i="1"/>
  <c r="K715" i="1"/>
  <c r="H715" i="1"/>
  <c r="G715" i="1"/>
  <c r="E715" i="1"/>
  <c r="D715" i="1"/>
  <c r="C715" i="1"/>
  <c r="K714" i="1"/>
  <c r="H714" i="1"/>
  <c r="G714" i="1"/>
  <c r="E714" i="1"/>
  <c r="D714" i="1"/>
  <c r="C714" i="1"/>
  <c r="K713" i="1"/>
  <c r="H713" i="1"/>
  <c r="G713" i="1"/>
  <c r="E713" i="1"/>
  <c r="D713" i="1"/>
  <c r="C713" i="1"/>
  <c r="K712" i="1"/>
  <c r="H712" i="1"/>
  <c r="G712" i="1"/>
  <c r="E712" i="1"/>
  <c r="D712" i="1"/>
  <c r="C712" i="1"/>
  <c r="K711" i="1"/>
  <c r="H711" i="1"/>
  <c r="G711" i="1"/>
  <c r="E711" i="1"/>
  <c r="D711" i="1"/>
  <c r="C711" i="1"/>
  <c r="K710" i="1"/>
  <c r="H710" i="1"/>
  <c r="G710" i="1"/>
  <c r="E710" i="1"/>
  <c r="D710" i="1"/>
  <c r="C710" i="1"/>
  <c r="K709" i="1"/>
  <c r="H709" i="1"/>
  <c r="G709" i="1"/>
  <c r="E709" i="1"/>
  <c r="D709" i="1"/>
  <c r="C709" i="1"/>
  <c r="K708" i="1"/>
  <c r="H708" i="1"/>
  <c r="G708" i="1"/>
  <c r="E708" i="1"/>
  <c r="D708" i="1"/>
  <c r="C708" i="1"/>
  <c r="K707" i="1"/>
  <c r="H707" i="1"/>
  <c r="G707" i="1"/>
  <c r="E707" i="1"/>
  <c r="D707" i="1"/>
  <c r="C707" i="1"/>
  <c r="K706" i="1"/>
  <c r="H706" i="1"/>
  <c r="G706" i="1"/>
  <c r="E706" i="1"/>
  <c r="D706" i="1"/>
  <c r="C706" i="1"/>
  <c r="K705" i="1"/>
  <c r="H705" i="1"/>
  <c r="G705" i="1"/>
  <c r="E705" i="1"/>
  <c r="D705" i="1"/>
  <c r="C705" i="1"/>
  <c r="K704" i="1"/>
  <c r="H704" i="1"/>
  <c r="G704" i="1"/>
  <c r="E704" i="1"/>
  <c r="D704" i="1"/>
  <c r="C704" i="1"/>
  <c r="K703" i="1"/>
  <c r="H703" i="1"/>
  <c r="G703" i="1"/>
  <c r="E703" i="1"/>
  <c r="D703" i="1"/>
  <c r="C703" i="1"/>
  <c r="K702" i="1"/>
  <c r="H702" i="1"/>
  <c r="G702" i="1"/>
  <c r="E702" i="1"/>
  <c r="D702" i="1"/>
  <c r="C702" i="1"/>
  <c r="K701" i="1"/>
  <c r="H701" i="1"/>
  <c r="G701" i="1"/>
  <c r="E701" i="1"/>
  <c r="D701" i="1"/>
  <c r="C701" i="1"/>
  <c r="K700" i="1"/>
  <c r="H700" i="1"/>
  <c r="G700" i="1"/>
  <c r="E700" i="1"/>
  <c r="D700" i="1"/>
  <c r="C700" i="1"/>
  <c r="K699" i="1"/>
  <c r="H699" i="1"/>
  <c r="G699" i="1"/>
  <c r="E699" i="1"/>
  <c r="D699" i="1"/>
  <c r="C699" i="1"/>
  <c r="K698" i="1"/>
  <c r="H698" i="1"/>
  <c r="G698" i="1"/>
  <c r="E698" i="1"/>
  <c r="D698" i="1"/>
  <c r="C698" i="1"/>
  <c r="K697" i="1"/>
  <c r="H697" i="1"/>
  <c r="G697" i="1"/>
  <c r="E697" i="1"/>
  <c r="D697" i="1"/>
  <c r="C697" i="1"/>
  <c r="K696" i="1"/>
  <c r="H696" i="1"/>
  <c r="G696" i="1"/>
  <c r="E696" i="1"/>
  <c r="D696" i="1"/>
  <c r="C696" i="1"/>
  <c r="K695" i="1"/>
  <c r="H695" i="1"/>
  <c r="G695" i="1"/>
  <c r="E695" i="1"/>
  <c r="D695" i="1"/>
  <c r="C695" i="1"/>
  <c r="K694" i="1"/>
  <c r="H694" i="1"/>
  <c r="G694" i="1"/>
  <c r="E694" i="1"/>
  <c r="D694" i="1"/>
  <c r="C694" i="1"/>
  <c r="K693" i="1"/>
  <c r="H693" i="1"/>
  <c r="G693" i="1"/>
  <c r="E693" i="1"/>
  <c r="D693" i="1"/>
  <c r="C693" i="1"/>
  <c r="K692" i="1"/>
  <c r="H692" i="1"/>
  <c r="G692" i="1"/>
  <c r="E692" i="1"/>
  <c r="D692" i="1"/>
  <c r="C692" i="1"/>
  <c r="K691" i="1"/>
  <c r="H691" i="1"/>
  <c r="G691" i="1"/>
  <c r="E691" i="1"/>
  <c r="D691" i="1"/>
  <c r="C691" i="1"/>
  <c r="K690" i="1"/>
  <c r="H690" i="1"/>
  <c r="G690" i="1"/>
  <c r="E690" i="1"/>
  <c r="D690" i="1"/>
  <c r="C690" i="1"/>
  <c r="K689" i="1"/>
  <c r="H689" i="1"/>
  <c r="G689" i="1"/>
  <c r="E689" i="1"/>
  <c r="D689" i="1"/>
  <c r="C689" i="1"/>
  <c r="K688" i="1"/>
  <c r="H688" i="1"/>
  <c r="G688" i="1"/>
  <c r="E688" i="1"/>
  <c r="D688" i="1"/>
  <c r="C688" i="1"/>
  <c r="K687" i="1"/>
  <c r="H687" i="1"/>
  <c r="G687" i="1"/>
  <c r="E687" i="1"/>
  <c r="D687" i="1"/>
  <c r="C687" i="1"/>
  <c r="K686" i="1"/>
  <c r="H686" i="1"/>
  <c r="G686" i="1"/>
  <c r="E686" i="1"/>
  <c r="D686" i="1"/>
  <c r="C686" i="1"/>
  <c r="K685" i="1"/>
  <c r="H685" i="1"/>
  <c r="G685" i="1"/>
  <c r="E685" i="1"/>
  <c r="D685" i="1"/>
  <c r="C685" i="1"/>
  <c r="K684" i="1"/>
  <c r="H684" i="1"/>
  <c r="G684" i="1"/>
  <c r="E684" i="1"/>
  <c r="D684" i="1"/>
  <c r="C684" i="1"/>
  <c r="K683" i="1"/>
  <c r="H683" i="1"/>
  <c r="G683" i="1"/>
  <c r="E683" i="1"/>
  <c r="D683" i="1"/>
  <c r="C683" i="1"/>
  <c r="K682" i="1"/>
  <c r="H682" i="1"/>
  <c r="G682" i="1"/>
  <c r="E682" i="1"/>
  <c r="D682" i="1"/>
  <c r="C682" i="1"/>
  <c r="K681" i="1"/>
  <c r="H681" i="1"/>
  <c r="G681" i="1"/>
  <c r="E681" i="1"/>
  <c r="D681" i="1"/>
  <c r="C681" i="1"/>
  <c r="K680" i="1"/>
  <c r="H680" i="1"/>
  <c r="G680" i="1"/>
  <c r="E680" i="1"/>
  <c r="D680" i="1"/>
  <c r="C680" i="1"/>
  <c r="K679" i="1"/>
  <c r="H679" i="1"/>
  <c r="G679" i="1"/>
  <c r="E679" i="1"/>
  <c r="D679" i="1"/>
  <c r="C679" i="1"/>
  <c r="K678" i="1"/>
  <c r="H678" i="1"/>
  <c r="G678" i="1"/>
  <c r="E678" i="1"/>
  <c r="D678" i="1"/>
  <c r="C678" i="1"/>
  <c r="K677" i="1"/>
  <c r="H677" i="1"/>
  <c r="G677" i="1"/>
  <c r="E677" i="1"/>
  <c r="D677" i="1"/>
  <c r="C677" i="1"/>
  <c r="K676" i="1"/>
  <c r="H676" i="1"/>
  <c r="G676" i="1"/>
  <c r="E676" i="1"/>
  <c r="D676" i="1"/>
  <c r="C676" i="1"/>
  <c r="K675" i="1"/>
  <c r="H675" i="1"/>
  <c r="G675" i="1"/>
  <c r="E675" i="1"/>
  <c r="D675" i="1"/>
  <c r="C675" i="1"/>
  <c r="K674" i="1"/>
  <c r="H674" i="1"/>
  <c r="G674" i="1"/>
  <c r="E674" i="1"/>
  <c r="D674" i="1"/>
  <c r="C674" i="1"/>
  <c r="K673" i="1"/>
  <c r="H673" i="1"/>
  <c r="G673" i="1"/>
  <c r="E673" i="1"/>
  <c r="D673" i="1"/>
  <c r="C673" i="1"/>
  <c r="K672" i="1"/>
  <c r="H672" i="1"/>
  <c r="G672" i="1"/>
  <c r="E672" i="1"/>
  <c r="D672" i="1"/>
  <c r="C672" i="1"/>
  <c r="K671" i="1"/>
  <c r="H671" i="1"/>
  <c r="G671" i="1"/>
  <c r="E671" i="1"/>
  <c r="D671" i="1"/>
  <c r="C671" i="1"/>
  <c r="K670" i="1"/>
  <c r="H670" i="1"/>
  <c r="G670" i="1"/>
  <c r="E670" i="1"/>
  <c r="D670" i="1"/>
  <c r="C670" i="1"/>
  <c r="K669" i="1"/>
  <c r="H669" i="1"/>
  <c r="G669" i="1"/>
  <c r="E669" i="1"/>
  <c r="D669" i="1"/>
  <c r="C669" i="1"/>
  <c r="K668" i="1"/>
  <c r="H668" i="1"/>
  <c r="G668" i="1"/>
  <c r="E668" i="1"/>
  <c r="D668" i="1"/>
  <c r="C668" i="1"/>
  <c r="K667" i="1"/>
  <c r="H667" i="1"/>
  <c r="G667" i="1"/>
  <c r="E667" i="1"/>
  <c r="D667" i="1"/>
  <c r="C667" i="1"/>
  <c r="K666" i="1"/>
  <c r="H666" i="1"/>
  <c r="G666" i="1"/>
  <c r="E666" i="1"/>
  <c r="D666" i="1"/>
  <c r="C666" i="1"/>
  <c r="K665" i="1"/>
  <c r="H665" i="1"/>
  <c r="G665" i="1"/>
  <c r="E665" i="1"/>
  <c r="D665" i="1"/>
  <c r="C665" i="1"/>
  <c r="K664" i="1"/>
  <c r="H664" i="1"/>
  <c r="G664" i="1"/>
  <c r="E664" i="1"/>
  <c r="D664" i="1"/>
  <c r="C664" i="1"/>
  <c r="K663" i="1"/>
  <c r="H663" i="1"/>
  <c r="G663" i="1"/>
  <c r="E663" i="1"/>
  <c r="D663" i="1"/>
  <c r="C663" i="1"/>
  <c r="K662" i="1"/>
  <c r="H662" i="1"/>
  <c r="G662" i="1"/>
  <c r="E662" i="1"/>
  <c r="D662" i="1"/>
  <c r="C662" i="1"/>
  <c r="K661" i="1"/>
  <c r="H661" i="1"/>
  <c r="G661" i="1"/>
  <c r="E661" i="1"/>
  <c r="D661" i="1"/>
  <c r="C661" i="1"/>
  <c r="K660" i="1"/>
  <c r="H660" i="1"/>
  <c r="G660" i="1"/>
  <c r="E660" i="1"/>
  <c r="D660" i="1"/>
  <c r="C660" i="1"/>
  <c r="K659" i="1"/>
  <c r="H659" i="1"/>
  <c r="G659" i="1"/>
  <c r="E659" i="1"/>
  <c r="D659" i="1"/>
  <c r="C659" i="1"/>
  <c r="K658" i="1"/>
  <c r="H658" i="1"/>
  <c r="G658" i="1"/>
  <c r="E658" i="1"/>
  <c r="D658" i="1"/>
  <c r="C658" i="1"/>
  <c r="K657" i="1"/>
  <c r="H657" i="1"/>
  <c r="G657" i="1"/>
  <c r="E657" i="1"/>
  <c r="D657" i="1"/>
  <c r="C657" i="1"/>
  <c r="K656" i="1"/>
  <c r="H656" i="1"/>
  <c r="G656" i="1"/>
  <c r="E656" i="1"/>
  <c r="D656" i="1"/>
  <c r="C656" i="1"/>
  <c r="K655" i="1"/>
  <c r="H655" i="1"/>
  <c r="G655" i="1"/>
  <c r="E655" i="1"/>
  <c r="D655" i="1"/>
  <c r="C655" i="1"/>
  <c r="K654" i="1"/>
  <c r="H654" i="1"/>
  <c r="G654" i="1"/>
  <c r="E654" i="1"/>
  <c r="D654" i="1"/>
  <c r="C654" i="1"/>
  <c r="K653" i="1"/>
  <c r="H653" i="1"/>
  <c r="G653" i="1"/>
  <c r="E653" i="1"/>
  <c r="D653" i="1"/>
  <c r="C653" i="1"/>
  <c r="K652" i="1"/>
  <c r="H652" i="1"/>
  <c r="G652" i="1"/>
  <c r="E652" i="1"/>
  <c r="D652" i="1"/>
  <c r="C652" i="1"/>
  <c r="K651" i="1"/>
  <c r="H651" i="1"/>
  <c r="G651" i="1"/>
  <c r="E651" i="1"/>
  <c r="D651" i="1"/>
  <c r="C651" i="1"/>
  <c r="K650" i="1"/>
  <c r="H650" i="1"/>
  <c r="G650" i="1"/>
  <c r="E650" i="1"/>
  <c r="D650" i="1"/>
  <c r="C650" i="1"/>
  <c r="K649" i="1"/>
  <c r="H649" i="1"/>
  <c r="G649" i="1"/>
  <c r="E649" i="1"/>
  <c r="D649" i="1"/>
  <c r="C649" i="1"/>
  <c r="K648" i="1"/>
  <c r="H648" i="1"/>
  <c r="G648" i="1"/>
  <c r="E648" i="1"/>
  <c r="D648" i="1"/>
  <c r="C648" i="1"/>
  <c r="K647" i="1"/>
  <c r="H647" i="1"/>
  <c r="G647" i="1"/>
  <c r="E647" i="1"/>
  <c r="D647" i="1"/>
  <c r="C647" i="1"/>
  <c r="K646" i="1"/>
  <c r="H646" i="1"/>
  <c r="G646" i="1"/>
  <c r="E646" i="1"/>
  <c r="D646" i="1"/>
  <c r="C646" i="1"/>
  <c r="K645" i="1"/>
  <c r="H645" i="1"/>
  <c r="G645" i="1"/>
  <c r="E645" i="1"/>
  <c r="D645" i="1"/>
  <c r="C645" i="1"/>
  <c r="K644" i="1"/>
  <c r="H644" i="1"/>
  <c r="G644" i="1"/>
  <c r="E644" i="1"/>
  <c r="D644" i="1"/>
  <c r="C644" i="1"/>
  <c r="K643" i="1"/>
  <c r="H643" i="1"/>
  <c r="G643" i="1"/>
  <c r="E643" i="1"/>
  <c r="D643" i="1"/>
  <c r="C643" i="1"/>
  <c r="K642" i="1"/>
  <c r="H642" i="1"/>
  <c r="G642" i="1"/>
  <c r="E642" i="1"/>
  <c r="D642" i="1"/>
  <c r="C642" i="1"/>
  <c r="K641" i="1"/>
  <c r="H641" i="1"/>
  <c r="G641" i="1"/>
  <c r="E641" i="1"/>
  <c r="D641" i="1"/>
  <c r="C641" i="1"/>
  <c r="K640" i="1"/>
  <c r="H640" i="1"/>
  <c r="G640" i="1"/>
  <c r="E640" i="1"/>
  <c r="D640" i="1"/>
  <c r="C640" i="1"/>
  <c r="K639" i="1"/>
  <c r="H639" i="1"/>
  <c r="G639" i="1"/>
  <c r="E639" i="1"/>
  <c r="D639" i="1"/>
  <c r="C639" i="1"/>
  <c r="K638" i="1"/>
  <c r="H638" i="1"/>
  <c r="G638" i="1"/>
  <c r="E638" i="1"/>
  <c r="D638" i="1"/>
  <c r="C638" i="1"/>
  <c r="K637" i="1"/>
  <c r="H637" i="1"/>
  <c r="G637" i="1"/>
  <c r="E637" i="1"/>
  <c r="D637" i="1"/>
  <c r="C637" i="1"/>
  <c r="K636" i="1"/>
  <c r="H636" i="1"/>
  <c r="G636" i="1"/>
  <c r="E636" i="1"/>
  <c r="D636" i="1"/>
  <c r="C636" i="1"/>
  <c r="K635" i="1"/>
  <c r="H635" i="1"/>
  <c r="G635" i="1"/>
  <c r="E635" i="1"/>
  <c r="D635" i="1"/>
  <c r="C635" i="1"/>
  <c r="K634" i="1"/>
  <c r="H634" i="1"/>
  <c r="G634" i="1"/>
  <c r="E634" i="1"/>
  <c r="D634" i="1"/>
  <c r="C634" i="1"/>
  <c r="K633" i="1"/>
  <c r="H633" i="1"/>
  <c r="G633" i="1"/>
  <c r="E633" i="1"/>
  <c r="D633" i="1"/>
  <c r="C633" i="1"/>
  <c r="K632" i="1"/>
  <c r="H632" i="1"/>
  <c r="G632" i="1"/>
  <c r="E632" i="1"/>
  <c r="D632" i="1"/>
  <c r="C632" i="1"/>
  <c r="K631" i="1"/>
  <c r="H631" i="1"/>
  <c r="G631" i="1"/>
  <c r="E631" i="1"/>
  <c r="D631" i="1"/>
  <c r="C631" i="1"/>
  <c r="K630" i="1"/>
  <c r="H630" i="1"/>
  <c r="G630" i="1"/>
  <c r="E630" i="1"/>
  <c r="D630" i="1"/>
  <c r="C630" i="1"/>
  <c r="K629" i="1"/>
  <c r="H629" i="1"/>
  <c r="G629" i="1"/>
  <c r="E629" i="1"/>
  <c r="D629" i="1"/>
  <c r="C629" i="1"/>
  <c r="K628" i="1"/>
  <c r="H628" i="1"/>
  <c r="G628" i="1"/>
  <c r="E628" i="1"/>
  <c r="D628" i="1"/>
  <c r="C628" i="1"/>
  <c r="K627" i="1"/>
  <c r="H627" i="1"/>
  <c r="G627" i="1"/>
  <c r="E627" i="1"/>
  <c r="D627" i="1"/>
  <c r="C627" i="1"/>
  <c r="K626" i="1"/>
  <c r="H626" i="1"/>
  <c r="G626" i="1"/>
  <c r="E626" i="1"/>
  <c r="D626" i="1"/>
  <c r="C626" i="1"/>
  <c r="K625" i="1"/>
  <c r="H625" i="1"/>
  <c r="G625" i="1"/>
  <c r="E625" i="1"/>
  <c r="D625" i="1"/>
  <c r="C625" i="1"/>
  <c r="K624" i="1"/>
  <c r="H624" i="1"/>
  <c r="G624" i="1"/>
  <c r="E624" i="1"/>
  <c r="D624" i="1"/>
  <c r="C624" i="1"/>
  <c r="K623" i="1"/>
  <c r="H623" i="1"/>
  <c r="G623" i="1"/>
  <c r="E623" i="1"/>
  <c r="D623" i="1"/>
  <c r="C623" i="1"/>
  <c r="K622" i="1"/>
  <c r="H622" i="1"/>
  <c r="G622" i="1"/>
  <c r="E622" i="1"/>
  <c r="D622" i="1"/>
  <c r="C622" i="1"/>
  <c r="K621" i="1"/>
  <c r="H621" i="1"/>
  <c r="G621" i="1"/>
  <c r="E621" i="1"/>
  <c r="D621" i="1"/>
  <c r="C621" i="1"/>
  <c r="K620" i="1"/>
  <c r="H620" i="1"/>
  <c r="G620" i="1"/>
  <c r="E620" i="1"/>
  <c r="D620" i="1"/>
  <c r="C620" i="1"/>
  <c r="K619" i="1"/>
  <c r="H619" i="1"/>
  <c r="G619" i="1"/>
  <c r="E619" i="1"/>
  <c r="D619" i="1"/>
  <c r="C619" i="1"/>
  <c r="K618" i="1"/>
  <c r="H618" i="1"/>
  <c r="G618" i="1"/>
  <c r="E618" i="1"/>
  <c r="D618" i="1"/>
  <c r="C618" i="1"/>
  <c r="K617" i="1"/>
  <c r="H617" i="1"/>
  <c r="G617" i="1"/>
  <c r="E617" i="1"/>
  <c r="D617" i="1"/>
  <c r="C617" i="1"/>
  <c r="K616" i="1"/>
  <c r="H616" i="1"/>
  <c r="G616" i="1"/>
  <c r="E616" i="1"/>
  <c r="D616" i="1"/>
  <c r="C616" i="1"/>
  <c r="K615" i="1"/>
  <c r="H615" i="1"/>
  <c r="G615" i="1"/>
  <c r="E615" i="1"/>
  <c r="D615" i="1"/>
  <c r="C615" i="1"/>
  <c r="K614" i="1"/>
  <c r="H614" i="1"/>
  <c r="G614" i="1"/>
  <c r="E614" i="1"/>
  <c r="D614" i="1"/>
  <c r="C614" i="1"/>
  <c r="K613" i="1"/>
  <c r="H613" i="1"/>
  <c r="G613" i="1"/>
  <c r="E613" i="1"/>
  <c r="D613" i="1"/>
  <c r="C613" i="1"/>
  <c r="K612" i="1"/>
  <c r="H612" i="1"/>
  <c r="G612" i="1"/>
  <c r="E612" i="1"/>
  <c r="D612" i="1"/>
  <c r="C612" i="1"/>
  <c r="K611" i="1"/>
  <c r="H611" i="1"/>
  <c r="G611" i="1"/>
  <c r="E611" i="1"/>
  <c r="D611" i="1"/>
  <c r="C611" i="1"/>
  <c r="K610" i="1"/>
  <c r="H610" i="1"/>
  <c r="G610" i="1"/>
  <c r="E610" i="1"/>
  <c r="D610" i="1"/>
  <c r="C610" i="1"/>
  <c r="K609" i="1"/>
  <c r="H609" i="1"/>
  <c r="G609" i="1"/>
  <c r="E609" i="1"/>
  <c r="D609" i="1"/>
  <c r="C609" i="1"/>
  <c r="K608" i="1"/>
  <c r="H608" i="1"/>
  <c r="G608" i="1"/>
  <c r="E608" i="1"/>
  <c r="D608" i="1"/>
  <c r="C608" i="1"/>
  <c r="K607" i="1"/>
  <c r="H607" i="1"/>
  <c r="G607" i="1"/>
  <c r="E607" i="1"/>
  <c r="D607" i="1"/>
  <c r="C607" i="1"/>
  <c r="K606" i="1"/>
  <c r="H606" i="1"/>
  <c r="G606" i="1"/>
  <c r="E606" i="1"/>
  <c r="D606" i="1"/>
  <c r="C606" i="1"/>
  <c r="K605" i="1"/>
  <c r="H605" i="1"/>
  <c r="G605" i="1"/>
  <c r="E605" i="1"/>
  <c r="D605" i="1"/>
  <c r="C605" i="1"/>
  <c r="K604" i="1"/>
  <c r="H604" i="1"/>
  <c r="G604" i="1"/>
  <c r="E604" i="1"/>
  <c r="D604" i="1"/>
  <c r="C604" i="1"/>
  <c r="K603" i="1"/>
  <c r="H603" i="1"/>
  <c r="G603" i="1"/>
  <c r="E603" i="1"/>
  <c r="D603" i="1"/>
  <c r="C603" i="1"/>
  <c r="K602" i="1"/>
  <c r="H602" i="1"/>
  <c r="G602" i="1"/>
  <c r="E602" i="1"/>
  <c r="D602" i="1"/>
  <c r="C602" i="1"/>
  <c r="K601" i="1"/>
  <c r="H601" i="1"/>
  <c r="G601" i="1"/>
  <c r="E601" i="1"/>
  <c r="D601" i="1"/>
  <c r="C601" i="1"/>
  <c r="K600" i="1"/>
  <c r="H600" i="1"/>
  <c r="G600" i="1"/>
  <c r="E600" i="1"/>
  <c r="D600" i="1"/>
  <c r="C600" i="1"/>
  <c r="K599" i="1"/>
  <c r="H599" i="1"/>
  <c r="G599" i="1"/>
  <c r="E599" i="1"/>
  <c r="D599" i="1"/>
  <c r="C599" i="1"/>
  <c r="K598" i="1"/>
  <c r="H598" i="1"/>
  <c r="G598" i="1"/>
  <c r="E598" i="1"/>
  <c r="D598" i="1"/>
  <c r="C598" i="1"/>
  <c r="K597" i="1"/>
  <c r="H597" i="1"/>
  <c r="G597" i="1"/>
  <c r="E597" i="1"/>
  <c r="D597" i="1"/>
  <c r="C597" i="1"/>
  <c r="K596" i="1"/>
  <c r="H596" i="1"/>
  <c r="G596" i="1"/>
  <c r="E596" i="1"/>
  <c r="D596" i="1"/>
  <c r="C596" i="1"/>
  <c r="K595" i="1"/>
  <c r="H595" i="1"/>
  <c r="G595" i="1"/>
  <c r="E595" i="1"/>
  <c r="D595" i="1"/>
  <c r="C595" i="1"/>
  <c r="K594" i="1"/>
  <c r="H594" i="1"/>
  <c r="G594" i="1"/>
  <c r="E594" i="1"/>
  <c r="D594" i="1"/>
  <c r="C594" i="1"/>
  <c r="K593" i="1"/>
  <c r="H593" i="1"/>
  <c r="G593" i="1"/>
  <c r="E593" i="1"/>
  <c r="D593" i="1"/>
  <c r="C593" i="1"/>
  <c r="K592" i="1"/>
  <c r="H592" i="1"/>
  <c r="G592" i="1"/>
  <c r="E592" i="1"/>
  <c r="D592" i="1"/>
  <c r="C592" i="1"/>
  <c r="K591" i="1"/>
  <c r="H591" i="1"/>
  <c r="G591" i="1"/>
  <c r="E591" i="1"/>
  <c r="D591" i="1"/>
  <c r="C591" i="1"/>
  <c r="K590" i="1"/>
  <c r="H590" i="1"/>
  <c r="G590" i="1"/>
  <c r="E590" i="1"/>
  <c r="D590" i="1"/>
  <c r="C590" i="1"/>
  <c r="K589" i="1"/>
  <c r="H589" i="1"/>
  <c r="G589" i="1"/>
  <c r="E589" i="1"/>
  <c r="D589" i="1"/>
  <c r="C589" i="1"/>
  <c r="K588" i="1"/>
  <c r="H588" i="1"/>
  <c r="G588" i="1"/>
  <c r="E588" i="1"/>
  <c r="D588" i="1"/>
  <c r="C588" i="1"/>
  <c r="K587" i="1"/>
  <c r="H587" i="1"/>
  <c r="G587" i="1"/>
  <c r="E587" i="1"/>
  <c r="D587" i="1"/>
  <c r="C587" i="1"/>
  <c r="K586" i="1"/>
  <c r="H586" i="1"/>
  <c r="G586" i="1"/>
  <c r="E586" i="1"/>
  <c r="D586" i="1"/>
  <c r="C586" i="1"/>
  <c r="K585" i="1"/>
  <c r="H585" i="1"/>
  <c r="G585" i="1"/>
  <c r="E585" i="1"/>
  <c r="D585" i="1"/>
  <c r="C585" i="1"/>
  <c r="K584" i="1"/>
  <c r="H584" i="1"/>
  <c r="G584" i="1"/>
  <c r="E584" i="1"/>
  <c r="D584" i="1"/>
  <c r="C584" i="1"/>
  <c r="K583" i="1"/>
  <c r="H583" i="1"/>
  <c r="G583" i="1"/>
  <c r="E583" i="1"/>
  <c r="D583" i="1"/>
  <c r="C583" i="1"/>
  <c r="K582" i="1"/>
  <c r="H582" i="1"/>
  <c r="G582" i="1"/>
  <c r="E582" i="1"/>
  <c r="D582" i="1"/>
  <c r="C582" i="1"/>
  <c r="K581" i="1"/>
  <c r="H581" i="1"/>
  <c r="G581" i="1"/>
  <c r="E581" i="1"/>
  <c r="D581" i="1"/>
  <c r="C581" i="1"/>
  <c r="K580" i="1"/>
  <c r="H580" i="1"/>
  <c r="G580" i="1"/>
  <c r="E580" i="1"/>
  <c r="D580" i="1"/>
  <c r="C580" i="1"/>
  <c r="K579" i="1"/>
  <c r="H579" i="1"/>
  <c r="G579" i="1"/>
  <c r="E579" i="1"/>
  <c r="D579" i="1"/>
  <c r="C579" i="1"/>
  <c r="K578" i="1"/>
  <c r="H578" i="1"/>
  <c r="G578" i="1"/>
  <c r="E578" i="1"/>
  <c r="D578" i="1"/>
  <c r="C578" i="1"/>
  <c r="K577" i="1"/>
  <c r="H577" i="1"/>
  <c r="G577" i="1"/>
  <c r="E577" i="1"/>
  <c r="D577" i="1"/>
  <c r="C577" i="1"/>
  <c r="K576" i="1"/>
  <c r="H576" i="1"/>
  <c r="G576" i="1"/>
  <c r="E576" i="1"/>
  <c r="D576" i="1"/>
  <c r="C576" i="1"/>
  <c r="K575" i="1"/>
  <c r="H575" i="1"/>
  <c r="G575" i="1"/>
  <c r="E575" i="1"/>
  <c r="D575" i="1"/>
  <c r="C575" i="1"/>
  <c r="K574" i="1"/>
  <c r="H574" i="1"/>
  <c r="G574" i="1"/>
  <c r="E574" i="1"/>
  <c r="D574" i="1"/>
  <c r="C574" i="1"/>
  <c r="K573" i="1"/>
  <c r="H573" i="1"/>
  <c r="G573" i="1"/>
  <c r="E573" i="1"/>
  <c r="D573" i="1"/>
  <c r="C573" i="1"/>
  <c r="K572" i="1"/>
  <c r="H572" i="1"/>
  <c r="G572" i="1"/>
  <c r="E572" i="1"/>
  <c r="D572" i="1"/>
  <c r="C572" i="1"/>
  <c r="K571" i="1"/>
  <c r="H571" i="1"/>
  <c r="G571" i="1"/>
  <c r="E571" i="1"/>
  <c r="D571" i="1"/>
  <c r="C571" i="1"/>
  <c r="K570" i="1"/>
  <c r="H570" i="1"/>
  <c r="G570" i="1"/>
  <c r="E570" i="1"/>
  <c r="D570" i="1"/>
  <c r="C570" i="1"/>
  <c r="K569" i="1"/>
  <c r="H569" i="1"/>
  <c r="G569" i="1"/>
  <c r="E569" i="1"/>
  <c r="D569" i="1"/>
  <c r="C569" i="1"/>
  <c r="K568" i="1"/>
  <c r="H568" i="1"/>
  <c r="G568" i="1"/>
  <c r="E568" i="1"/>
  <c r="D568" i="1"/>
  <c r="C568" i="1"/>
  <c r="K567" i="1"/>
  <c r="H567" i="1"/>
  <c r="G567" i="1"/>
  <c r="E567" i="1"/>
  <c r="D567" i="1"/>
  <c r="C567" i="1"/>
  <c r="K566" i="1"/>
  <c r="H566" i="1"/>
  <c r="G566" i="1"/>
  <c r="E566" i="1"/>
  <c r="D566" i="1"/>
  <c r="C566" i="1"/>
  <c r="K565" i="1"/>
  <c r="H565" i="1"/>
  <c r="G565" i="1"/>
  <c r="E565" i="1"/>
  <c r="D565" i="1"/>
  <c r="C565" i="1"/>
  <c r="K564" i="1"/>
  <c r="H564" i="1"/>
  <c r="G564" i="1"/>
  <c r="E564" i="1"/>
  <c r="D564" i="1"/>
  <c r="C564" i="1"/>
  <c r="K563" i="1"/>
  <c r="H563" i="1"/>
  <c r="G563" i="1"/>
  <c r="E563" i="1"/>
  <c r="D563" i="1"/>
  <c r="C563" i="1"/>
  <c r="K562" i="1"/>
  <c r="H562" i="1"/>
  <c r="G562" i="1"/>
  <c r="E562" i="1"/>
  <c r="D562" i="1"/>
  <c r="C562" i="1"/>
  <c r="K561" i="1"/>
  <c r="H561" i="1"/>
  <c r="G561" i="1"/>
  <c r="E561" i="1"/>
  <c r="D561" i="1"/>
  <c r="C561" i="1"/>
  <c r="K560" i="1"/>
  <c r="H560" i="1"/>
  <c r="G560" i="1"/>
  <c r="E560" i="1"/>
  <c r="D560" i="1"/>
  <c r="C560" i="1"/>
  <c r="K559" i="1"/>
  <c r="H559" i="1"/>
  <c r="G559" i="1"/>
  <c r="E559" i="1"/>
  <c r="D559" i="1"/>
  <c r="C559" i="1"/>
  <c r="K558" i="1"/>
  <c r="H558" i="1"/>
  <c r="G558" i="1"/>
  <c r="E558" i="1"/>
  <c r="D558" i="1"/>
  <c r="C558" i="1"/>
  <c r="K557" i="1"/>
  <c r="H557" i="1"/>
  <c r="G557" i="1"/>
  <c r="E557" i="1"/>
  <c r="D557" i="1"/>
  <c r="C557" i="1"/>
  <c r="K556" i="1"/>
  <c r="H556" i="1"/>
  <c r="G556" i="1"/>
  <c r="E556" i="1"/>
  <c r="D556" i="1"/>
  <c r="C556" i="1"/>
  <c r="K555" i="1"/>
  <c r="H555" i="1"/>
  <c r="G555" i="1"/>
  <c r="E555" i="1"/>
  <c r="D555" i="1"/>
  <c r="C555" i="1"/>
  <c r="K554" i="1"/>
  <c r="H554" i="1"/>
  <c r="G554" i="1"/>
  <c r="E554" i="1"/>
  <c r="D554" i="1"/>
  <c r="C554" i="1"/>
  <c r="K553" i="1"/>
  <c r="H553" i="1"/>
  <c r="G553" i="1"/>
  <c r="E553" i="1"/>
  <c r="D553" i="1"/>
  <c r="C553" i="1"/>
  <c r="K552" i="1"/>
  <c r="H552" i="1"/>
  <c r="G552" i="1"/>
  <c r="E552" i="1"/>
  <c r="D552" i="1"/>
  <c r="C552" i="1"/>
  <c r="K551" i="1"/>
  <c r="H551" i="1"/>
  <c r="G551" i="1"/>
  <c r="E551" i="1"/>
  <c r="D551" i="1"/>
  <c r="C551" i="1"/>
  <c r="K550" i="1"/>
  <c r="H550" i="1"/>
  <c r="G550" i="1"/>
  <c r="E550" i="1"/>
  <c r="D550" i="1"/>
  <c r="C550" i="1"/>
  <c r="K549" i="1"/>
  <c r="H549" i="1"/>
  <c r="G549" i="1"/>
  <c r="E549" i="1"/>
  <c r="D549" i="1"/>
  <c r="C549" i="1"/>
  <c r="K548" i="1"/>
  <c r="H548" i="1"/>
  <c r="G548" i="1"/>
  <c r="E548" i="1"/>
  <c r="D548" i="1"/>
  <c r="C548" i="1"/>
  <c r="K547" i="1"/>
  <c r="H547" i="1"/>
  <c r="G547" i="1"/>
  <c r="E547" i="1"/>
  <c r="D547" i="1"/>
  <c r="C547" i="1"/>
  <c r="K546" i="1"/>
  <c r="H546" i="1"/>
  <c r="G546" i="1"/>
  <c r="E546" i="1"/>
  <c r="D546" i="1"/>
  <c r="C546" i="1"/>
  <c r="K545" i="1"/>
  <c r="H545" i="1"/>
  <c r="G545" i="1"/>
  <c r="E545" i="1"/>
  <c r="D545" i="1"/>
  <c r="C545" i="1"/>
  <c r="K544" i="1"/>
  <c r="H544" i="1"/>
  <c r="G544" i="1"/>
  <c r="E544" i="1"/>
  <c r="D544" i="1"/>
  <c r="C544" i="1"/>
  <c r="K543" i="1"/>
  <c r="H543" i="1"/>
  <c r="G543" i="1"/>
  <c r="E543" i="1"/>
  <c r="D543" i="1"/>
  <c r="C543" i="1"/>
  <c r="K542" i="1"/>
  <c r="H542" i="1"/>
  <c r="G542" i="1"/>
  <c r="E542" i="1"/>
  <c r="D542" i="1"/>
  <c r="C542" i="1"/>
  <c r="K541" i="1"/>
  <c r="H541" i="1"/>
  <c r="G541" i="1"/>
  <c r="E541" i="1"/>
  <c r="D541" i="1"/>
  <c r="C541" i="1"/>
  <c r="K540" i="1"/>
  <c r="H540" i="1"/>
  <c r="G540" i="1"/>
  <c r="E540" i="1"/>
  <c r="D540" i="1"/>
  <c r="C540" i="1"/>
  <c r="K539" i="1"/>
  <c r="H539" i="1"/>
  <c r="G539" i="1"/>
  <c r="E539" i="1"/>
  <c r="D539" i="1"/>
  <c r="C539" i="1"/>
  <c r="K538" i="1"/>
  <c r="H538" i="1"/>
  <c r="G538" i="1"/>
  <c r="E538" i="1"/>
  <c r="D538" i="1"/>
  <c r="C538" i="1"/>
  <c r="K537" i="1"/>
  <c r="H537" i="1"/>
  <c r="G537" i="1"/>
  <c r="E537" i="1"/>
  <c r="D537" i="1"/>
  <c r="C537" i="1"/>
  <c r="K536" i="1"/>
  <c r="H536" i="1"/>
  <c r="G536" i="1"/>
  <c r="E536" i="1"/>
  <c r="D536" i="1"/>
  <c r="C536" i="1"/>
  <c r="K535" i="1"/>
  <c r="H535" i="1"/>
  <c r="G535" i="1"/>
  <c r="E535" i="1"/>
  <c r="D535" i="1"/>
  <c r="C535" i="1"/>
  <c r="K534" i="1"/>
  <c r="H534" i="1"/>
  <c r="G534" i="1"/>
  <c r="E534" i="1"/>
  <c r="D534" i="1"/>
  <c r="C534" i="1"/>
  <c r="K533" i="1"/>
  <c r="H533" i="1"/>
  <c r="G533" i="1"/>
  <c r="E533" i="1"/>
  <c r="D533" i="1"/>
  <c r="C533" i="1"/>
  <c r="K532" i="1"/>
  <c r="H532" i="1"/>
  <c r="G532" i="1"/>
  <c r="E532" i="1"/>
  <c r="D532" i="1"/>
  <c r="C532" i="1"/>
  <c r="K531" i="1"/>
  <c r="H531" i="1"/>
  <c r="G531" i="1"/>
  <c r="E531" i="1"/>
  <c r="D531" i="1"/>
  <c r="C531" i="1"/>
  <c r="K530" i="1"/>
  <c r="H530" i="1"/>
  <c r="G530" i="1"/>
  <c r="E530" i="1"/>
  <c r="D530" i="1"/>
  <c r="C530" i="1"/>
  <c r="K529" i="1"/>
  <c r="H529" i="1"/>
  <c r="G529" i="1"/>
  <c r="E529" i="1"/>
  <c r="D529" i="1"/>
  <c r="C529" i="1"/>
  <c r="K528" i="1"/>
  <c r="H528" i="1"/>
  <c r="G528" i="1"/>
  <c r="E528" i="1"/>
  <c r="D528" i="1"/>
  <c r="C528" i="1"/>
  <c r="K527" i="1"/>
  <c r="H527" i="1"/>
  <c r="G527" i="1"/>
  <c r="E527" i="1"/>
  <c r="D527" i="1"/>
  <c r="C527" i="1"/>
  <c r="K526" i="1"/>
  <c r="H526" i="1"/>
  <c r="G526" i="1"/>
  <c r="E526" i="1"/>
  <c r="D526" i="1"/>
  <c r="C526" i="1"/>
  <c r="K525" i="1"/>
  <c r="H525" i="1"/>
  <c r="G525" i="1"/>
  <c r="E525" i="1"/>
  <c r="D525" i="1"/>
  <c r="C525" i="1"/>
  <c r="K524" i="1"/>
  <c r="H524" i="1"/>
  <c r="G524" i="1"/>
  <c r="E524" i="1"/>
  <c r="D524" i="1"/>
  <c r="C524" i="1"/>
  <c r="K523" i="1"/>
  <c r="H523" i="1"/>
  <c r="G523" i="1"/>
  <c r="E523" i="1"/>
  <c r="D523" i="1"/>
  <c r="C523" i="1"/>
  <c r="K522" i="1"/>
  <c r="H522" i="1"/>
  <c r="G522" i="1"/>
  <c r="E522" i="1"/>
  <c r="D522" i="1"/>
  <c r="C522" i="1"/>
  <c r="K521" i="1"/>
  <c r="H521" i="1"/>
  <c r="G521" i="1"/>
  <c r="E521" i="1"/>
  <c r="D521" i="1"/>
  <c r="C521" i="1"/>
  <c r="K520" i="1"/>
  <c r="H520" i="1"/>
  <c r="G520" i="1"/>
  <c r="E520" i="1"/>
  <c r="D520" i="1"/>
  <c r="C520" i="1"/>
  <c r="K519" i="1"/>
  <c r="H519" i="1"/>
  <c r="G519" i="1"/>
  <c r="E519" i="1"/>
  <c r="D519" i="1"/>
  <c r="C519" i="1"/>
  <c r="K518" i="1"/>
  <c r="H518" i="1"/>
  <c r="G518" i="1"/>
  <c r="E518" i="1"/>
  <c r="D518" i="1"/>
  <c r="C518" i="1"/>
  <c r="K517" i="1"/>
  <c r="H517" i="1"/>
  <c r="G517" i="1"/>
  <c r="E517" i="1"/>
  <c r="D517" i="1"/>
  <c r="C517" i="1"/>
  <c r="K516" i="1"/>
  <c r="H516" i="1"/>
  <c r="G516" i="1"/>
  <c r="E516" i="1"/>
  <c r="D516" i="1"/>
  <c r="C516" i="1"/>
  <c r="K515" i="1"/>
  <c r="H515" i="1"/>
  <c r="G515" i="1"/>
  <c r="E515" i="1"/>
  <c r="D515" i="1"/>
  <c r="C515" i="1"/>
  <c r="K514" i="1"/>
  <c r="H514" i="1"/>
  <c r="G514" i="1"/>
  <c r="E514" i="1"/>
  <c r="D514" i="1"/>
  <c r="C514" i="1"/>
  <c r="K513" i="1"/>
  <c r="H513" i="1"/>
  <c r="G513" i="1"/>
  <c r="E513" i="1"/>
  <c r="D513" i="1"/>
  <c r="C513" i="1"/>
  <c r="K512" i="1"/>
  <c r="H512" i="1"/>
  <c r="G512" i="1"/>
  <c r="E512" i="1"/>
  <c r="D512" i="1"/>
  <c r="C512" i="1"/>
  <c r="K511" i="1"/>
  <c r="H511" i="1"/>
  <c r="G511" i="1"/>
  <c r="E511" i="1"/>
  <c r="D511" i="1"/>
  <c r="C511" i="1"/>
  <c r="K510" i="1"/>
  <c r="H510" i="1"/>
  <c r="G510" i="1"/>
  <c r="E510" i="1"/>
  <c r="D510" i="1"/>
  <c r="C510" i="1"/>
  <c r="K509" i="1"/>
  <c r="H509" i="1"/>
  <c r="G509" i="1"/>
  <c r="E509" i="1"/>
  <c r="D509" i="1"/>
  <c r="C509" i="1"/>
  <c r="K508" i="1"/>
  <c r="H508" i="1"/>
  <c r="G508" i="1"/>
  <c r="E508" i="1"/>
  <c r="D508" i="1"/>
  <c r="C508" i="1"/>
  <c r="K507" i="1"/>
  <c r="H507" i="1"/>
  <c r="G507" i="1"/>
  <c r="E507" i="1"/>
  <c r="D507" i="1"/>
  <c r="C507" i="1"/>
  <c r="K506" i="1"/>
  <c r="H506" i="1"/>
  <c r="G506" i="1"/>
  <c r="E506" i="1"/>
  <c r="D506" i="1"/>
  <c r="C506" i="1"/>
  <c r="K505" i="1"/>
  <c r="H505" i="1"/>
  <c r="G505" i="1"/>
  <c r="E505" i="1"/>
  <c r="D505" i="1"/>
  <c r="C505" i="1"/>
  <c r="K504" i="1"/>
  <c r="H504" i="1"/>
  <c r="G504" i="1"/>
  <c r="E504" i="1"/>
  <c r="D504" i="1"/>
  <c r="C504" i="1"/>
  <c r="K503" i="1"/>
  <c r="H503" i="1"/>
  <c r="G503" i="1"/>
  <c r="E503" i="1"/>
  <c r="D503" i="1"/>
  <c r="C503" i="1"/>
  <c r="K502" i="1"/>
  <c r="H502" i="1"/>
  <c r="G502" i="1"/>
  <c r="E502" i="1"/>
  <c r="D502" i="1"/>
  <c r="C502" i="1"/>
  <c r="K501" i="1"/>
  <c r="H501" i="1"/>
  <c r="G501" i="1"/>
  <c r="E501" i="1"/>
  <c r="D501" i="1"/>
  <c r="C501" i="1"/>
  <c r="K500" i="1"/>
  <c r="H500" i="1"/>
  <c r="G500" i="1"/>
  <c r="E500" i="1"/>
  <c r="D500" i="1"/>
  <c r="C500" i="1"/>
  <c r="K499" i="1"/>
  <c r="H499" i="1"/>
  <c r="G499" i="1"/>
  <c r="E499" i="1"/>
  <c r="D499" i="1"/>
  <c r="C499" i="1"/>
  <c r="K498" i="1"/>
  <c r="H498" i="1"/>
  <c r="G498" i="1"/>
  <c r="E498" i="1"/>
  <c r="D498" i="1"/>
  <c r="C498" i="1"/>
  <c r="K497" i="1"/>
  <c r="H497" i="1"/>
  <c r="G497" i="1"/>
  <c r="E497" i="1"/>
  <c r="D497" i="1"/>
  <c r="C497" i="1"/>
  <c r="K496" i="1"/>
  <c r="H496" i="1"/>
  <c r="G496" i="1"/>
  <c r="E496" i="1"/>
  <c r="D496" i="1"/>
  <c r="C496" i="1"/>
  <c r="K495" i="1"/>
  <c r="H495" i="1"/>
  <c r="G495" i="1"/>
  <c r="E495" i="1"/>
  <c r="D495" i="1"/>
  <c r="C495" i="1"/>
  <c r="K494" i="1"/>
  <c r="H494" i="1"/>
  <c r="G494" i="1"/>
  <c r="E494" i="1"/>
  <c r="D494" i="1"/>
  <c r="C494" i="1"/>
  <c r="K493" i="1"/>
  <c r="H493" i="1"/>
  <c r="G493" i="1"/>
  <c r="E493" i="1"/>
  <c r="D493" i="1"/>
  <c r="C493" i="1"/>
  <c r="K492" i="1"/>
  <c r="H492" i="1"/>
  <c r="G492" i="1"/>
  <c r="E492" i="1"/>
  <c r="D492" i="1"/>
  <c r="C492" i="1"/>
  <c r="K491" i="1"/>
  <c r="H491" i="1"/>
  <c r="G491" i="1"/>
  <c r="E491" i="1"/>
  <c r="D491" i="1"/>
  <c r="C491" i="1"/>
  <c r="K490" i="1"/>
  <c r="H490" i="1"/>
  <c r="G490" i="1"/>
  <c r="E490" i="1"/>
  <c r="D490" i="1"/>
  <c r="C490" i="1"/>
  <c r="K489" i="1"/>
  <c r="H489" i="1"/>
  <c r="G489" i="1"/>
  <c r="E489" i="1"/>
  <c r="D489" i="1"/>
  <c r="C489" i="1"/>
  <c r="K488" i="1"/>
  <c r="H488" i="1"/>
  <c r="G488" i="1"/>
  <c r="E488" i="1"/>
  <c r="D488" i="1"/>
  <c r="C488" i="1"/>
  <c r="K487" i="1"/>
  <c r="H487" i="1"/>
  <c r="G487" i="1"/>
  <c r="E487" i="1"/>
  <c r="D487" i="1"/>
  <c r="C487" i="1"/>
  <c r="K486" i="1"/>
  <c r="H486" i="1"/>
  <c r="G486" i="1"/>
  <c r="E486" i="1"/>
  <c r="D486" i="1"/>
  <c r="C486" i="1"/>
  <c r="K485" i="1"/>
  <c r="H485" i="1"/>
  <c r="G485" i="1"/>
  <c r="E485" i="1"/>
  <c r="D485" i="1"/>
  <c r="C485" i="1"/>
  <c r="K484" i="1"/>
  <c r="H484" i="1"/>
  <c r="G484" i="1"/>
  <c r="E484" i="1"/>
  <c r="D484" i="1"/>
  <c r="C484" i="1"/>
  <c r="K483" i="1"/>
  <c r="H483" i="1"/>
  <c r="G483" i="1"/>
  <c r="E483" i="1"/>
  <c r="D483" i="1"/>
  <c r="C483" i="1"/>
  <c r="K482" i="1"/>
  <c r="H482" i="1"/>
  <c r="G482" i="1"/>
  <c r="E482" i="1"/>
  <c r="D482" i="1"/>
  <c r="C482" i="1"/>
  <c r="K481" i="1"/>
  <c r="H481" i="1"/>
  <c r="G481" i="1"/>
  <c r="E481" i="1"/>
  <c r="D481" i="1"/>
  <c r="C481" i="1"/>
  <c r="K480" i="1"/>
  <c r="H480" i="1"/>
  <c r="G480" i="1"/>
  <c r="E480" i="1"/>
  <c r="D480" i="1"/>
  <c r="C480" i="1"/>
  <c r="K479" i="1"/>
  <c r="H479" i="1"/>
  <c r="G479" i="1"/>
  <c r="E479" i="1"/>
  <c r="D479" i="1"/>
  <c r="C479" i="1"/>
  <c r="K478" i="1"/>
  <c r="H478" i="1"/>
  <c r="G478" i="1"/>
  <c r="E478" i="1"/>
  <c r="D478" i="1"/>
  <c r="C478" i="1"/>
  <c r="K477" i="1"/>
  <c r="H477" i="1"/>
  <c r="G477" i="1"/>
  <c r="E477" i="1"/>
  <c r="D477" i="1"/>
  <c r="C477" i="1"/>
  <c r="K476" i="1"/>
  <c r="H476" i="1"/>
  <c r="G476" i="1"/>
  <c r="E476" i="1"/>
  <c r="D476" i="1"/>
  <c r="C476" i="1"/>
  <c r="K475" i="1"/>
  <c r="H475" i="1"/>
  <c r="G475" i="1"/>
  <c r="E475" i="1"/>
  <c r="D475" i="1"/>
  <c r="C475" i="1"/>
  <c r="K474" i="1"/>
  <c r="H474" i="1"/>
  <c r="G474" i="1"/>
  <c r="E474" i="1"/>
  <c r="D474" i="1"/>
  <c r="C474" i="1"/>
  <c r="K473" i="1"/>
  <c r="H473" i="1"/>
  <c r="G473" i="1"/>
  <c r="E473" i="1"/>
  <c r="D473" i="1"/>
  <c r="C473" i="1"/>
  <c r="K472" i="1"/>
  <c r="H472" i="1"/>
  <c r="G472" i="1"/>
  <c r="E472" i="1"/>
  <c r="D472" i="1"/>
  <c r="C472" i="1"/>
  <c r="K471" i="1"/>
  <c r="H471" i="1"/>
  <c r="G471" i="1"/>
  <c r="E471" i="1"/>
  <c r="D471" i="1"/>
  <c r="C471" i="1"/>
  <c r="K470" i="1"/>
  <c r="H470" i="1"/>
  <c r="G470" i="1"/>
  <c r="E470" i="1"/>
  <c r="D470" i="1"/>
  <c r="C470" i="1"/>
  <c r="K469" i="1"/>
  <c r="H469" i="1"/>
  <c r="G469" i="1"/>
  <c r="E469" i="1"/>
  <c r="D469" i="1"/>
  <c r="C469" i="1"/>
  <c r="K468" i="1"/>
  <c r="H468" i="1"/>
  <c r="G468" i="1"/>
  <c r="E468" i="1"/>
  <c r="D468" i="1"/>
  <c r="C468" i="1"/>
  <c r="K467" i="1"/>
  <c r="H467" i="1"/>
  <c r="G467" i="1"/>
  <c r="E467" i="1"/>
  <c r="D467" i="1"/>
  <c r="C467" i="1"/>
  <c r="K466" i="1"/>
  <c r="H466" i="1"/>
  <c r="G466" i="1"/>
  <c r="E466" i="1"/>
  <c r="D466" i="1"/>
  <c r="C466" i="1"/>
  <c r="K465" i="1"/>
  <c r="H465" i="1"/>
  <c r="G465" i="1"/>
  <c r="E465" i="1"/>
  <c r="D465" i="1"/>
  <c r="C465" i="1"/>
  <c r="K464" i="1"/>
  <c r="H464" i="1"/>
  <c r="G464" i="1"/>
  <c r="E464" i="1"/>
  <c r="D464" i="1"/>
  <c r="C464" i="1"/>
  <c r="K463" i="1"/>
  <c r="H463" i="1"/>
  <c r="G463" i="1"/>
  <c r="E463" i="1"/>
  <c r="D463" i="1"/>
  <c r="C463" i="1"/>
  <c r="K462" i="1"/>
  <c r="H462" i="1"/>
  <c r="G462" i="1"/>
  <c r="E462" i="1"/>
  <c r="D462" i="1"/>
  <c r="C462" i="1"/>
  <c r="K461" i="1"/>
  <c r="H461" i="1"/>
  <c r="G461" i="1"/>
  <c r="E461" i="1"/>
  <c r="D461" i="1"/>
  <c r="C461" i="1"/>
  <c r="K460" i="1"/>
  <c r="H460" i="1"/>
  <c r="G460" i="1"/>
  <c r="E460" i="1"/>
  <c r="D460" i="1"/>
  <c r="C460" i="1"/>
  <c r="K459" i="1"/>
  <c r="H459" i="1"/>
  <c r="G459" i="1"/>
  <c r="E459" i="1"/>
  <c r="D459" i="1"/>
  <c r="C459" i="1"/>
  <c r="K458" i="1"/>
  <c r="H458" i="1"/>
  <c r="G458" i="1"/>
  <c r="E458" i="1"/>
  <c r="D458" i="1"/>
  <c r="C458" i="1"/>
  <c r="K457" i="1"/>
  <c r="H457" i="1"/>
  <c r="G457" i="1"/>
  <c r="E457" i="1"/>
  <c r="D457" i="1"/>
  <c r="C457" i="1"/>
  <c r="K456" i="1"/>
  <c r="H456" i="1"/>
  <c r="G456" i="1"/>
  <c r="E456" i="1"/>
  <c r="D456" i="1"/>
  <c r="C456" i="1"/>
  <c r="K455" i="1"/>
  <c r="H455" i="1"/>
  <c r="G455" i="1"/>
  <c r="E455" i="1"/>
  <c r="D455" i="1"/>
  <c r="C455" i="1"/>
  <c r="K454" i="1"/>
  <c r="H454" i="1"/>
  <c r="G454" i="1"/>
  <c r="E454" i="1"/>
  <c r="D454" i="1"/>
  <c r="C454" i="1"/>
  <c r="K453" i="1"/>
  <c r="H453" i="1"/>
  <c r="G453" i="1"/>
  <c r="E453" i="1"/>
  <c r="D453" i="1"/>
  <c r="C453" i="1"/>
  <c r="K452" i="1"/>
  <c r="H452" i="1"/>
  <c r="G452" i="1"/>
  <c r="E452" i="1"/>
  <c r="D452" i="1"/>
  <c r="C452" i="1"/>
  <c r="K451" i="1"/>
  <c r="H451" i="1"/>
  <c r="G451" i="1"/>
  <c r="E451" i="1"/>
  <c r="D451" i="1"/>
  <c r="C451" i="1"/>
  <c r="K450" i="1"/>
  <c r="H450" i="1"/>
  <c r="G450" i="1"/>
  <c r="E450" i="1"/>
  <c r="D450" i="1"/>
  <c r="C450" i="1"/>
  <c r="K449" i="1"/>
  <c r="H449" i="1"/>
  <c r="G449" i="1"/>
  <c r="E449" i="1"/>
  <c r="D449" i="1"/>
  <c r="C449" i="1"/>
  <c r="K448" i="1"/>
  <c r="H448" i="1"/>
  <c r="G448" i="1"/>
  <c r="E448" i="1"/>
  <c r="D448" i="1"/>
  <c r="C448" i="1"/>
  <c r="K447" i="1"/>
  <c r="H447" i="1"/>
  <c r="G447" i="1"/>
  <c r="E447" i="1"/>
  <c r="D447" i="1"/>
  <c r="C447" i="1"/>
  <c r="K446" i="1"/>
  <c r="H446" i="1"/>
  <c r="G446" i="1"/>
  <c r="E446" i="1"/>
  <c r="D446" i="1"/>
  <c r="C446" i="1"/>
  <c r="K445" i="1"/>
  <c r="H445" i="1"/>
  <c r="G445" i="1"/>
  <c r="E445" i="1"/>
  <c r="D445" i="1"/>
  <c r="C445" i="1"/>
  <c r="K444" i="1"/>
  <c r="H444" i="1"/>
  <c r="G444" i="1"/>
  <c r="E444" i="1"/>
  <c r="D444" i="1"/>
  <c r="C444" i="1"/>
  <c r="K443" i="1"/>
  <c r="H443" i="1"/>
  <c r="G443" i="1"/>
  <c r="E443" i="1"/>
  <c r="D443" i="1"/>
  <c r="C443" i="1"/>
  <c r="K442" i="1"/>
  <c r="H442" i="1"/>
  <c r="G442" i="1"/>
  <c r="E442" i="1"/>
  <c r="D442" i="1"/>
  <c r="C442" i="1"/>
  <c r="K441" i="1"/>
  <c r="H441" i="1"/>
  <c r="G441" i="1"/>
  <c r="E441" i="1"/>
  <c r="D441" i="1"/>
  <c r="C441" i="1"/>
  <c r="K440" i="1"/>
  <c r="H440" i="1"/>
  <c r="G440" i="1"/>
  <c r="E440" i="1"/>
  <c r="D440" i="1"/>
  <c r="C440" i="1"/>
  <c r="K439" i="1"/>
  <c r="H439" i="1"/>
  <c r="G439" i="1"/>
  <c r="E439" i="1"/>
  <c r="D439" i="1"/>
  <c r="C439" i="1"/>
  <c r="K438" i="1"/>
  <c r="H438" i="1"/>
  <c r="G438" i="1"/>
  <c r="E438" i="1"/>
  <c r="D438" i="1"/>
  <c r="C438" i="1"/>
  <c r="K437" i="1"/>
  <c r="H437" i="1"/>
  <c r="G437" i="1"/>
  <c r="E437" i="1"/>
  <c r="D437" i="1"/>
  <c r="C437" i="1"/>
  <c r="K436" i="1"/>
  <c r="H436" i="1"/>
  <c r="G436" i="1"/>
  <c r="E436" i="1"/>
  <c r="D436" i="1"/>
  <c r="C436" i="1"/>
  <c r="K435" i="1"/>
  <c r="H435" i="1"/>
  <c r="G435" i="1"/>
  <c r="E435" i="1"/>
  <c r="D435" i="1"/>
  <c r="C435" i="1"/>
  <c r="K434" i="1"/>
  <c r="H434" i="1"/>
  <c r="G434" i="1"/>
  <c r="E434" i="1"/>
  <c r="D434" i="1"/>
  <c r="C434" i="1"/>
  <c r="K433" i="1"/>
  <c r="H433" i="1"/>
  <c r="G433" i="1"/>
  <c r="E433" i="1"/>
  <c r="D433" i="1"/>
  <c r="C433" i="1"/>
  <c r="K432" i="1"/>
  <c r="H432" i="1"/>
  <c r="G432" i="1"/>
  <c r="E432" i="1"/>
  <c r="D432" i="1"/>
  <c r="C432" i="1"/>
  <c r="K431" i="1"/>
  <c r="H431" i="1"/>
  <c r="G431" i="1"/>
  <c r="E431" i="1"/>
  <c r="D431" i="1"/>
  <c r="C431" i="1"/>
  <c r="K430" i="1"/>
  <c r="H430" i="1"/>
  <c r="G430" i="1"/>
  <c r="E430" i="1"/>
  <c r="D430" i="1"/>
  <c r="C430" i="1"/>
  <c r="K429" i="1"/>
  <c r="H429" i="1"/>
  <c r="G429" i="1"/>
  <c r="E429" i="1"/>
  <c r="D429" i="1"/>
  <c r="C429" i="1"/>
  <c r="K428" i="1"/>
  <c r="H428" i="1"/>
  <c r="G428" i="1"/>
  <c r="E428" i="1"/>
  <c r="D428" i="1"/>
  <c r="C428" i="1"/>
  <c r="K427" i="1"/>
  <c r="H427" i="1"/>
  <c r="G427" i="1"/>
  <c r="E427" i="1"/>
  <c r="D427" i="1"/>
  <c r="C427" i="1"/>
  <c r="K426" i="1"/>
  <c r="H426" i="1"/>
  <c r="G426" i="1"/>
  <c r="E426" i="1"/>
  <c r="D426" i="1"/>
  <c r="C426" i="1"/>
  <c r="K425" i="1"/>
  <c r="H425" i="1"/>
  <c r="G425" i="1"/>
  <c r="E425" i="1"/>
  <c r="D425" i="1"/>
  <c r="C425" i="1"/>
  <c r="K424" i="1"/>
  <c r="H424" i="1"/>
  <c r="G424" i="1"/>
  <c r="E424" i="1"/>
  <c r="D424" i="1"/>
  <c r="C424" i="1"/>
  <c r="K423" i="1"/>
  <c r="H423" i="1"/>
  <c r="G423" i="1"/>
  <c r="E423" i="1"/>
  <c r="D423" i="1"/>
  <c r="C423" i="1"/>
  <c r="K422" i="1"/>
  <c r="H422" i="1"/>
  <c r="G422" i="1"/>
  <c r="E422" i="1"/>
  <c r="D422" i="1"/>
  <c r="C422" i="1"/>
  <c r="K421" i="1"/>
  <c r="H421" i="1"/>
  <c r="G421" i="1"/>
  <c r="E421" i="1"/>
  <c r="D421" i="1"/>
  <c r="C421" i="1"/>
  <c r="K420" i="1"/>
  <c r="H420" i="1"/>
  <c r="G420" i="1"/>
  <c r="E420" i="1"/>
  <c r="D420" i="1"/>
  <c r="C420" i="1"/>
  <c r="K419" i="1"/>
  <c r="H419" i="1"/>
  <c r="G419" i="1"/>
  <c r="E419" i="1"/>
  <c r="D419" i="1"/>
  <c r="C419" i="1"/>
  <c r="K418" i="1"/>
  <c r="H418" i="1"/>
  <c r="G418" i="1"/>
  <c r="E418" i="1"/>
  <c r="D418" i="1"/>
  <c r="C418" i="1"/>
  <c r="K417" i="1"/>
  <c r="H417" i="1"/>
  <c r="G417" i="1"/>
  <c r="E417" i="1"/>
  <c r="D417" i="1"/>
  <c r="C417" i="1"/>
  <c r="K416" i="1"/>
  <c r="H416" i="1"/>
  <c r="G416" i="1"/>
  <c r="E416" i="1"/>
  <c r="D416" i="1"/>
  <c r="C416" i="1"/>
  <c r="K415" i="1"/>
  <c r="H415" i="1"/>
  <c r="G415" i="1"/>
  <c r="E415" i="1"/>
  <c r="D415" i="1"/>
  <c r="C415" i="1"/>
  <c r="K414" i="1"/>
  <c r="H414" i="1"/>
  <c r="G414" i="1"/>
  <c r="E414" i="1"/>
  <c r="D414" i="1"/>
  <c r="C414" i="1"/>
  <c r="K413" i="1"/>
  <c r="H413" i="1"/>
  <c r="G413" i="1"/>
  <c r="E413" i="1"/>
  <c r="D413" i="1"/>
  <c r="C413" i="1"/>
  <c r="K412" i="1"/>
  <c r="H412" i="1"/>
  <c r="G412" i="1"/>
  <c r="E412" i="1"/>
  <c r="D412" i="1"/>
  <c r="C412" i="1"/>
  <c r="K411" i="1"/>
  <c r="H411" i="1"/>
  <c r="G411" i="1"/>
  <c r="E411" i="1"/>
  <c r="D411" i="1"/>
  <c r="C411" i="1"/>
  <c r="K410" i="1"/>
  <c r="H410" i="1"/>
  <c r="G410" i="1"/>
  <c r="E410" i="1"/>
  <c r="D410" i="1"/>
  <c r="C410" i="1"/>
  <c r="K409" i="1"/>
  <c r="H409" i="1"/>
  <c r="G409" i="1"/>
  <c r="E409" i="1"/>
  <c r="D409" i="1"/>
  <c r="C409" i="1"/>
  <c r="K408" i="1"/>
  <c r="H408" i="1"/>
  <c r="G408" i="1"/>
  <c r="E408" i="1"/>
  <c r="D408" i="1"/>
  <c r="C408" i="1"/>
  <c r="K407" i="1"/>
  <c r="H407" i="1"/>
  <c r="G407" i="1"/>
  <c r="E407" i="1"/>
  <c r="D407" i="1"/>
  <c r="C407" i="1"/>
  <c r="K406" i="1"/>
  <c r="H406" i="1"/>
  <c r="G406" i="1"/>
  <c r="E406" i="1"/>
  <c r="D406" i="1"/>
  <c r="C406" i="1"/>
  <c r="K405" i="1"/>
  <c r="H405" i="1"/>
  <c r="G405" i="1"/>
  <c r="E405" i="1"/>
  <c r="D405" i="1"/>
  <c r="C405" i="1"/>
  <c r="K404" i="1"/>
  <c r="H404" i="1"/>
  <c r="G404" i="1"/>
  <c r="E404" i="1"/>
  <c r="D404" i="1"/>
  <c r="C404" i="1"/>
  <c r="K403" i="1"/>
  <c r="H403" i="1"/>
  <c r="G403" i="1"/>
  <c r="E403" i="1"/>
  <c r="D403" i="1"/>
  <c r="C403" i="1"/>
  <c r="K402" i="1"/>
  <c r="H402" i="1"/>
  <c r="G402" i="1"/>
  <c r="E402" i="1"/>
  <c r="D402" i="1"/>
  <c r="C402" i="1"/>
  <c r="K401" i="1"/>
  <c r="H401" i="1"/>
  <c r="G401" i="1"/>
  <c r="E401" i="1"/>
  <c r="D401" i="1"/>
  <c r="C401" i="1"/>
  <c r="K400" i="1"/>
  <c r="H400" i="1"/>
  <c r="G400" i="1"/>
  <c r="E400" i="1"/>
  <c r="D400" i="1"/>
  <c r="C400" i="1"/>
  <c r="K399" i="1"/>
  <c r="H399" i="1"/>
  <c r="G399" i="1"/>
  <c r="E399" i="1"/>
  <c r="D399" i="1"/>
  <c r="C399" i="1"/>
  <c r="K398" i="1"/>
  <c r="H398" i="1"/>
  <c r="G398" i="1"/>
  <c r="E398" i="1"/>
  <c r="D398" i="1"/>
  <c r="C398" i="1"/>
  <c r="K397" i="1"/>
  <c r="H397" i="1"/>
  <c r="G397" i="1"/>
  <c r="E397" i="1"/>
  <c r="D397" i="1"/>
  <c r="C397" i="1"/>
  <c r="K396" i="1"/>
  <c r="H396" i="1"/>
  <c r="G396" i="1"/>
  <c r="E396" i="1"/>
  <c r="D396" i="1"/>
  <c r="C396" i="1"/>
  <c r="K395" i="1"/>
  <c r="H395" i="1"/>
  <c r="G395" i="1"/>
  <c r="E395" i="1"/>
  <c r="D395" i="1"/>
  <c r="C395" i="1"/>
  <c r="K394" i="1"/>
  <c r="H394" i="1"/>
  <c r="G394" i="1"/>
  <c r="E394" i="1"/>
  <c r="D394" i="1"/>
  <c r="C394" i="1"/>
  <c r="K393" i="1"/>
  <c r="H393" i="1"/>
  <c r="G393" i="1"/>
  <c r="E393" i="1"/>
  <c r="D393" i="1"/>
  <c r="C393" i="1"/>
  <c r="K392" i="1"/>
  <c r="H392" i="1"/>
  <c r="G392" i="1"/>
  <c r="E392" i="1"/>
  <c r="D392" i="1"/>
  <c r="C392" i="1"/>
  <c r="K391" i="1"/>
  <c r="H391" i="1"/>
  <c r="G391" i="1"/>
  <c r="E391" i="1"/>
  <c r="D391" i="1"/>
  <c r="C391" i="1"/>
  <c r="K390" i="1"/>
  <c r="H390" i="1"/>
  <c r="G390" i="1"/>
  <c r="E390" i="1"/>
  <c r="D390" i="1"/>
  <c r="C390" i="1"/>
  <c r="K389" i="1"/>
  <c r="H389" i="1"/>
  <c r="G389" i="1"/>
  <c r="E389" i="1"/>
  <c r="D389" i="1"/>
  <c r="C389" i="1"/>
  <c r="K388" i="1"/>
  <c r="H388" i="1"/>
  <c r="G388" i="1"/>
  <c r="E388" i="1"/>
  <c r="D388" i="1"/>
  <c r="C388" i="1"/>
  <c r="K387" i="1"/>
  <c r="H387" i="1"/>
  <c r="G387" i="1"/>
  <c r="E387" i="1"/>
  <c r="D387" i="1"/>
  <c r="C387" i="1"/>
  <c r="K386" i="1"/>
  <c r="H386" i="1"/>
  <c r="G386" i="1"/>
  <c r="E386" i="1"/>
  <c r="D386" i="1"/>
  <c r="C386" i="1"/>
  <c r="K385" i="1"/>
  <c r="H385" i="1"/>
  <c r="G385" i="1"/>
  <c r="E385" i="1"/>
  <c r="D385" i="1"/>
  <c r="C385" i="1"/>
  <c r="K384" i="1"/>
  <c r="H384" i="1"/>
  <c r="G384" i="1"/>
  <c r="E384" i="1"/>
  <c r="D384" i="1"/>
  <c r="C384" i="1"/>
  <c r="K383" i="1"/>
  <c r="H383" i="1"/>
  <c r="G383" i="1"/>
  <c r="E383" i="1"/>
  <c r="D383" i="1"/>
  <c r="C383" i="1"/>
  <c r="K382" i="1"/>
  <c r="H382" i="1"/>
  <c r="G382" i="1"/>
  <c r="E382" i="1"/>
  <c r="D382" i="1"/>
  <c r="C382" i="1"/>
  <c r="K381" i="1"/>
  <c r="H381" i="1"/>
  <c r="G381" i="1"/>
  <c r="E381" i="1"/>
  <c r="D381" i="1"/>
  <c r="C381" i="1"/>
  <c r="K380" i="1"/>
  <c r="H380" i="1"/>
  <c r="G380" i="1"/>
  <c r="E380" i="1"/>
  <c r="D380" i="1"/>
  <c r="C380" i="1"/>
  <c r="K379" i="1"/>
  <c r="H379" i="1"/>
  <c r="G379" i="1"/>
  <c r="E379" i="1"/>
  <c r="D379" i="1"/>
  <c r="C379" i="1"/>
  <c r="K378" i="1"/>
  <c r="H378" i="1"/>
  <c r="G378" i="1"/>
  <c r="E378" i="1"/>
  <c r="D378" i="1"/>
  <c r="C378" i="1"/>
  <c r="K377" i="1"/>
  <c r="H377" i="1"/>
  <c r="G377" i="1"/>
  <c r="E377" i="1"/>
  <c r="D377" i="1"/>
  <c r="C377" i="1"/>
  <c r="K376" i="1"/>
  <c r="H376" i="1"/>
  <c r="G376" i="1"/>
  <c r="E376" i="1"/>
  <c r="D376" i="1"/>
  <c r="C376" i="1"/>
  <c r="K375" i="1"/>
  <c r="H375" i="1"/>
  <c r="G375" i="1"/>
  <c r="E375" i="1"/>
  <c r="D375" i="1"/>
  <c r="C375" i="1"/>
  <c r="K374" i="1"/>
  <c r="H374" i="1"/>
  <c r="G374" i="1"/>
  <c r="E374" i="1"/>
  <c r="D374" i="1"/>
  <c r="C374" i="1"/>
  <c r="K373" i="1"/>
  <c r="H373" i="1"/>
  <c r="G373" i="1"/>
  <c r="E373" i="1"/>
  <c r="D373" i="1"/>
  <c r="C373" i="1"/>
  <c r="K372" i="1"/>
  <c r="H372" i="1"/>
  <c r="G372" i="1"/>
  <c r="E372" i="1"/>
  <c r="D372" i="1"/>
  <c r="C372" i="1"/>
  <c r="K371" i="1"/>
  <c r="H371" i="1"/>
  <c r="G371" i="1"/>
  <c r="E371" i="1"/>
  <c r="D371" i="1"/>
  <c r="C371" i="1"/>
  <c r="K370" i="1"/>
  <c r="H370" i="1"/>
  <c r="G370" i="1"/>
  <c r="E370" i="1"/>
  <c r="D370" i="1"/>
  <c r="C370" i="1"/>
  <c r="K369" i="1"/>
  <c r="H369" i="1"/>
  <c r="G369" i="1"/>
  <c r="E369" i="1"/>
  <c r="D369" i="1"/>
  <c r="C369" i="1"/>
  <c r="K368" i="1"/>
  <c r="H368" i="1"/>
  <c r="G368" i="1"/>
  <c r="E368" i="1"/>
  <c r="D368" i="1"/>
  <c r="C368" i="1"/>
  <c r="K367" i="1"/>
  <c r="H367" i="1"/>
  <c r="G367" i="1"/>
  <c r="E367" i="1"/>
  <c r="D367" i="1"/>
  <c r="C367" i="1"/>
  <c r="K366" i="1"/>
  <c r="H366" i="1"/>
  <c r="G366" i="1"/>
  <c r="E366" i="1"/>
  <c r="D366" i="1"/>
  <c r="C366" i="1"/>
  <c r="K365" i="1"/>
  <c r="H365" i="1"/>
  <c r="G365" i="1"/>
  <c r="E365" i="1"/>
  <c r="D365" i="1"/>
  <c r="C365" i="1"/>
  <c r="K364" i="1"/>
  <c r="H364" i="1"/>
  <c r="G364" i="1"/>
  <c r="E364" i="1"/>
  <c r="D364" i="1"/>
  <c r="C364" i="1"/>
  <c r="K363" i="1"/>
  <c r="H363" i="1"/>
  <c r="G363" i="1"/>
  <c r="E363" i="1"/>
  <c r="C363" i="1"/>
  <c r="K362" i="1"/>
  <c r="H362" i="1"/>
  <c r="G362" i="1"/>
  <c r="E362" i="1"/>
  <c r="C362" i="1"/>
  <c r="K361" i="1"/>
  <c r="H361" i="1"/>
  <c r="G361" i="1"/>
  <c r="E361" i="1"/>
  <c r="C361" i="1"/>
  <c r="K360" i="1"/>
  <c r="H360" i="1"/>
  <c r="G360" i="1"/>
  <c r="E360" i="1"/>
  <c r="C360" i="1"/>
  <c r="K359" i="1"/>
  <c r="H359" i="1"/>
  <c r="G359" i="1"/>
  <c r="E359" i="1"/>
  <c r="D359" i="1"/>
  <c r="C359" i="1"/>
  <c r="K358" i="1"/>
  <c r="H358" i="1"/>
  <c r="G358" i="1"/>
  <c r="E358" i="1"/>
  <c r="D358" i="1"/>
  <c r="C358" i="1"/>
  <c r="K357" i="1"/>
  <c r="H357" i="1"/>
  <c r="G357" i="1"/>
  <c r="E357" i="1"/>
  <c r="D357" i="1"/>
  <c r="C357" i="1"/>
  <c r="K356" i="1"/>
  <c r="H356" i="1"/>
  <c r="G356" i="1"/>
  <c r="E356" i="1"/>
  <c r="D356" i="1"/>
  <c r="C356" i="1"/>
  <c r="K355" i="1"/>
  <c r="H355" i="1"/>
  <c r="G355" i="1"/>
  <c r="E355" i="1"/>
  <c r="D355" i="1"/>
  <c r="C355" i="1"/>
  <c r="K354" i="1"/>
  <c r="H354" i="1"/>
  <c r="G354" i="1"/>
  <c r="E354" i="1"/>
  <c r="D354" i="1"/>
  <c r="C354" i="1"/>
  <c r="K353" i="1"/>
  <c r="H353" i="1"/>
  <c r="G353" i="1"/>
  <c r="E353" i="1"/>
  <c r="D353" i="1"/>
  <c r="C353" i="1"/>
  <c r="K352" i="1"/>
  <c r="H352" i="1"/>
  <c r="G352" i="1"/>
  <c r="E352" i="1"/>
  <c r="D352" i="1"/>
  <c r="C352" i="1"/>
  <c r="K351" i="1"/>
  <c r="H351" i="1"/>
  <c r="G351" i="1"/>
  <c r="E351" i="1"/>
  <c r="D351" i="1"/>
  <c r="C351" i="1"/>
  <c r="K350" i="1"/>
  <c r="H350" i="1"/>
  <c r="G350" i="1"/>
  <c r="E350" i="1"/>
  <c r="D350" i="1"/>
  <c r="C350" i="1"/>
  <c r="K349" i="1"/>
  <c r="H349" i="1"/>
  <c r="G349" i="1"/>
  <c r="E349" i="1"/>
  <c r="D349" i="1"/>
  <c r="C349" i="1"/>
  <c r="K348" i="1"/>
  <c r="H348" i="1"/>
  <c r="G348" i="1"/>
  <c r="E348" i="1"/>
  <c r="D348" i="1"/>
  <c r="C348" i="1"/>
  <c r="K347" i="1"/>
  <c r="H347" i="1"/>
  <c r="G347" i="1"/>
  <c r="E347" i="1"/>
  <c r="D347" i="1"/>
  <c r="C347" i="1"/>
  <c r="K346" i="1"/>
  <c r="H346" i="1"/>
  <c r="G346" i="1"/>
  <c r="E346" i="1"/>
  <c r="D346" i="1"/>
  <c r="C346" i="1"/>
  <c r="K345" i="1"/>
  <c r="H345" i="1"/>
  <c r="G345" i="1"/>
  <c r="E345" i="1"/>
  <c r="D345" i="1"/>
  <c r="C345" i="1"/>
  <c r="K344" i="1"/>
  <c r="H344" i="1"/>
  <c r="G344" i="1"/>
  <c r="E344" i="1"/>
  <c r="D344" i="1"/>
  <c r="C344" i="1"/>
  <c r="K343" i="1"/>
  <c r="H343" i="1"/>
  <c r="G343" i="1"/>
  <c r="E343" i="1"/>
  <c r="D343" i="1"/>
  <c r="C343" i="1"/>
  <c r="K342" i="1"/>
  <c r="H342" i="1"/>
  <c r="G342" i="1"/>
  <c r="E342" i="1"/>
  <c r="D342" i="1"/>
  <c r="C342" i="1"/>
  <c r="K341" i="1"/>
  <c r="H341" i="1"/>
  <c r="G341" i="1"/>
  <c r="E341" i="1"/>
  <c r="D341" i="1"/>
  <c r="C341" i="1"/>
  <c r="K340" i="1"/>
  <c r="H340" i="1"/>
  <c r="G340" i="1"/>
  <c r="E340" i="1"/>
  <c r="D340" i="1"/>
  <c r="C340" i="1"/>
  <c r="K339" i="1"/>
  <c r="H339" i="1"/>
  <c r="G339" i="1"/>
  <c r="E339" i="1"/>
  <c r="D339" i="1"/>
  <c r="C339" i="1"/>
  <c r="K338" i="1"/>
  <c r="H338" i="1"/>
  <c r="G338" i="1"/>
  <c r="E338" i="1"/>
  <c r="D338" i="1"/>
  <c r="C338" i="1"/>
  <c r="K337" i="1"/>
  <c r="H337" i="1"/>
  <c r="G337" i="1"/>
  <c r="E337" i="1"/>
  <c r="D337" i="1"/>
  <c r="C337" i="1"/>
  <c r="K336" i="1"/>
  <c r="H336" i="1"/>
  <c r="G336" i="1"/>
  <c r="E336" i="1"/>
  <c r="D336" i="1"/>
  <c r="C336" i="1"/>
  <c r="K335" i="1"/>
  <c r="H335" i="1"/>
  <c r="G335" i="1"/>
  <c r="E335" i="1"/>
  <c r="D335" i="1"/>
  <c r="C335" i="1"/>
  <c r="K334" i="1"/>
  <c r="H334" i="1"/>
  <c r="G334" i="1"/>
  <c r="E334" i="1"/>
  <c r="D334" i="1"/>
  <c r="C334" i="1"/>
  <c r="K333" i="1"/>
  <c r="H333" i="1"/>
  <c r="G333" i="1"/>
  <c r="E333" i="1"/>
  <c r="D333" i="1"/>
  <c r="C333" i="1"/>
  <c r="K332" i="1"/>
  <c r="H332" i="1"/>
  <c r="G332" i="1"/>
  <c r="E332" i="1"/>
  <c r="D332" i="1"/>
  <c r="C332" i="1"/>
  <c r="K331" i="1"/>
  <c r="H331" i="1"/>
  <c r="G331" i="1"/>
  <c r="E331" i="1"/>
  <c r="D331" i="1"/>
  <c r="C331" i="1"/>
  <c r="K330" i="1"/>
  <c r="H330" i="1"/>
  <c r="G330" i="1"/>
  <c r="E330" i="1"/>
  <c r="D330" i="1"/>
  <c r="C330" i="1"/>
  <c r="K329" i="1"/>
  <c r="H329" i="1"/>
  <c r="G329" i="1"/>
  <c r="E329" i="1"/>
  <c r="D329" i="1"/>
  <c r="C329" i="1"/>
  <c r="K328" i="1"/>
  <c r="H328" i="1"/>
  <c r="G328" i="1"/>
  <c r="E328" i="1"/>
  <c r="D328" i="1"/>
  <c r="C328" i="1"/>
  <c r="K327" i="1"/>
  <c r="H327" i="1"/>
  <c r="G327" i="1"/>
  <c r="E327" i="1"/>
  <c r="D327" i="1"/>
  <c r="C327" i="1"/>
  <c r="K326" i="1"/>
  <c r="H326" i="1"/>
  <c r="G326" i="1"/>
  <c r="E326" i="1"/>
  <c r="D326" i="1"/>
  <c r="C326" i="1"/>
  <c r="K325" i="1"/>
  <c r="H325" i="1"/>
  <c r="G325" i="1"/>
  <c r="E325" i="1"/>
  <c r="D325" i="1"/>
  <c r="C325" i="1"/>
  <c r="K324" i="1"/>
  <c r="H324" i="1"/>
  <c r="G324" i="1"/>
  <c r="E324" i="1"/>
  <c r="D324" i="1"/>
  <c r="C324" i="1"/>
  <c r="K323" i="1"/>
  <c r="H323" i="1"/>
  <c r="G323" i="1"/>
  <c r="E323" i="1"/>
  <c r="D323" i="1"/>
  <c r="C323" i="1"/>
  <c r="K322" i="1"/>
  <c r="H322" i="1"/>
  <c r="G322" i="1"/>
  <c r="E322" i="1"/>
  <c r="D322" i="1"/>
  <c r="C322" i="1"/>
  <c r="K321" i="1"/>
  <c r="H321" i="1"/>
  <c r="G321" i="1"/>
  <c r="E321" i="1"/>
  <c r="D321" i="1"/>
  <c r="C321" i="1"/>
  <c r="K320" i="1"/>
  <c r="H320" i="1"/>
  <c r="G320" i="1"/>
  <c r="E320" i="1"/>
  <c r="D320" i="1"/>
  <c r="C320" i="1"/>
  <c r="K319" i="1"/>
  <c r="H319" i="1"/>
  <c r="G319" i="1"/>
  <c r="E319" i="1"/>
  <c r="D319" i="1"/>
  <c r="C319" i="1"/>
  <c r="K318" i="1"/>
  <c r="H318" i="1"/>
  <c r="G318" i="1"/>
  <c r="E318" i="1"/>
  <c r="D318" i="1"/>
  <c r="C318" i="1"/>
  <c r="K317" i="1"/>
  <c r="H317" i="1"/>
  <c r="G317" i="1"/>
  <c r="E317" i="1"/>
  <c r="D317" i="1"/>
  <c r="C317" i="1"/>
  <c r="K316" i="1"/>
  <c r="H316" i="1"/>
  <c r="G316" i="1"/>
  <c r="E316" i="1"/>
  <c r="D316" i="1"/>
  <c r="C316" i="1"/>
  <c r="K315" i="1"/>
  <c r="H315" i="1"/>
  <c r="G315" i="1"/>
  <c r="E315" i="1"/>
  <c r="D315" i="1"/>
  <c r="C315" i="1"/>
  <c r="K314" i="1"/>
  <c r="H314" i="1"/>
  <c r="G314" i="1"/>
  <c r="E314" i="1"/>
  <c r="D314" i="1"/>
  <c r="C314" i="1"/>
  <c r="K313" i="1"/>
  <c r="H313" i="1"/>
  <c r="G313" i="1"/>
  <c r="E313" i="1"/>
  <c r="D313" i="1"/>
  <c r="C313" i="1"/>
  <c r="K312" i="1"/>
  <c r="H312" i="1"/>
  <c r="G312" i="1"/>
  <c r="E312" i="1"/>
  <c r="D312" i="1"/>
  <c r="C312" i="1"/>
  <c r="K311" i="1"/>
  <c r="H311" i="1"/>
  <c r="G311" i="1"/>
  <c r="E311" i="1"/>
  <c r="D311" i="1"/>
  <c r="C311" i="1"/>
  <c r="K310" i="1"/>
  <c r="H310" i="1"/>
  <c r="G310" i="1"/>
  <c r="E310" i="1"/>
  <c r="D310" i="1"/>
  <c r="C310" i="1"/>
  <c r="K309" i="1"/>
  <c r="H309" i="1"/>
  <c r="G309" i="1"/>
  <c r="E309" i="1"/>
  <c r="D309" i="1"/>
  <c r="C309" i="1"/>
  <c r="K308" i="1"/>
  <c r="H308" i="1"/>
  <c r="G308" i="1"/>
  <c r="E308" i="1"/>
  <c r="D308" i="1"/>
  <c r="C308" i="1"/>
  <c r="K307" i="1"/>
  <c r="H307" i="1"/>
  <c r="G307" i="1"/>
  <c r="E307" i="1"/>
  <c r="D307" i="1"/>
  <c r="C307" i="1"/>
  <c r="K306" i="1"/>
  <c r="H306" i="1"/>
  <c r="G306" i="1"/>
  <c r="E306" i="1"/>
  <c r="D306" i="1"/>
  <c r="C306" i="1"/>
  <c r="K305" i="1"/>
  <c r="H305" i="1"/>
  <c r="G305" i="1"/>
  <c r="E305" i="1"/>
  <c r="D305" i="1"/>
  <c r="C305" i="1"/>
  <c r="K304" i="1"/>
  <c r="H304" i="1"/>
  <c r="G304" i="1"/>
  <c r="E304" i="1"/>
  <c r="D304" i="1"/>
  <c r="C304" i="1"/>
  <c r="K303" i="1"/>
  <c r="H303" i="1"/>
  <c r="G303" i="1"/>
  <c r="E303" i="1"/>
  <c r="D303" i="1"/>
  <c r="C303" i="1"/>
  <c r="K302" i="1"/>
  <c r="H302" i="1"/>
  <c r="G302" i="1"/>
  <c r="E302" i="1"/>
  <c r="D302" i="1"/>
  <c r="C302" i="1"/>
  <c r="K301" i="1"/>
  <c r="H301" i="1"/>
  <c r="G301" i="1"/>
  <c r="E301" i="1"/>
  <c r="D301" i="1"/>
  <c r="C301" i="1"/>
  <c r="K300" i="1"/>
  <c r="H300" i="1"/>
  <c r="G300" i="1"/>
  <c r="E300" i="1"/>
  <c r="D300" i="1"/>
  <c r="C300" i="1"/>
  <c r="K299" i="1"/>
  <c r="H299" i="1"/>
  <c r="G299" i="1"/>
  <c r="E299" i="1"/>
  <c r="D299" i="1"/>
  <c r="C299" i="1"/>
  <c r="K298" i="1"/>
  <c r="H298" i="1"/>
  <c r="G298" i="1"/>
  <c r="E298" i="1"/>
  <c r="D298" i="1"/>
  <c r="C298" i="1"/>
  <c r="K297" i="1"/>
  <c r="H297" i="1"/>
  <c r="G297" i="1"/>
  <c r="E297" i="1"/>
  <c r="D297" i="1"/>
  <c r="C297" i="1"/>
  <c r="K296" i="1"/>
  <c r="H296" i="1"/>
  <c r="G296" i="1"/>
  <c r="E296" i="1"/>
  <c r="D296" i="1"/>
  <c r="C296" i="1"/>
  <c r="K295" i="1"/>
  <c r="H295" i="1"/>
  <c r="G295" i="1"/>
  <c r="E295" i="1"/>
  <c r="D295" i="1"/>
  <c r="C295" i="1"/>
  <c r="K294" i="1"/>
  <c r="H294" i="1"/>
  <c r="G294" i="1"/>
  <c r="E294" i="1"/>
  <c r="D294" i="1"/>
  <c r="C294" i="1"/>
  <c r="K293" i="1"/>
  <c r="H293" i="1"/>
  <c r="G293" i="1"/>
  <c r="E293" i="1"/>
  <c r="D293" i="1"/>
  <c r="C293" i="1"/>
  <c r="K292" i="1"/>
  <c r="H292" i="1"/>
  <c r="G292" i="1"/>
  <c r="E292" i="1"/>
  <c r="D292" i="1"/>
  <c r="C292" i="1"/>
  <c r="K291" i="1"/>
  <c r="H291" i="1"/>
  <c r="G291" i="1"/>
  <c r="E291" i="1"/>
  <c r="D291" i="1"/>
  <c r="C291" i="1"/>
  <c r="K290" i="1"/>
  <c r="H290" i="1"/>
  <c r="G290" i="1"/>
  <c r="E290" i="1"/>
  <c r="D290" i="1"/>
  <c r="C290" i="1"/>
  <c r="K289" i="1"/>
  <c r="H289" i="1"/>
  <c r="G289" i="1"/>
  <c r="E289" i="1"/>
  <c r="D289" i="1"/>
  <c r="C289" i="1"/>
  <c r="K288" i="1"/>
  <c r="H288" i="1"/>
  <c r="G288" i="1"/>
  <c r="E288" i="1"/>
  <c r="D288" i="1"/>
  <c r="C288" i="1"/>
  <c r="K287" i="1"/>
  <c r="H287" i="1"/>
  <c r="G287" i="1"/>
  <c r="E287" i="1"/>
  <c r="D287" i="1"/>
  <c r="C287" i="1"/>
  <c r="K286" i="1"/>
  <c r="H286" i="1"/>
  <c r="G286" i="1"/>
  <c r="E286" i="1"/>
  <c r="D286" i="1"/>
  <c r="C286" i="1"/>
  <c r="K285" i="1"/>
  <c r="H285" i="1"/>
  <c r="G285" i="1"/>
  <c r="E285" i="1"/>
  <c r="D285" i="1"/>
  <c r="C285" i="1"/>
  <c r="K284" i="1"/>
  <c r="H284" i="1"/>
  <c r="G284" i="1"/>
  <c r="E284" i="1"/>
  <c r="D284" i="1"/>
  <c r="C284" i="1"/>
  <c r="K283" i="1"/>
  <c r="H283" i="1"/>
  <c r="G283" i="1"/>
  <c r="E283" i="1"/>
  <c r="D283" i="1"/>
  <c r="C283" i="1"/>
  <c r="K282" i="1"/>
  <c r="H282" i="1"/>
  <c r="G282" i="1"/>
  <c r="E282" i="1"/>
  <c r="D282" i="1"/>
  <c r="C282" i="1"/>
  <c r="K281" i="1"/>
  <c r="H281" i="1"/>
  <c r="G281" i="1"/>
  <c r="E281" i="1"/>
  <c r="D281" i="1"/>
  <c r="C281" i="1"/>
  <c r="K280" i="1"/>
  <c r="H280" i="1"/>
  <c r="G280" i="1"/>
  <c r="E280" i="1"/>
  <c r="D280" i="1"/>
  <c r="C280" i="1"/>
  <c r="K279" i="1"/>
  <c r="H279" i="1"/>
  <c r="G279" i="1"/>
  <c r="E279" i="1"/>
  <c r="D279" i="1"/>
  <c r="C279" i="1"/>
  <c r="K278" i="1"/>
  <c r="H278" i="1"/>
  <c r="G278" i="1"/>
  <c r="E278" i="1"/>
  <c r="D278" i="1"/>
  <c r="C278" i="1"/>
  <c r="K277" i="1"/>
  <c r="H277" i="1"/>
  <c r="G277" i="1"/>
  <c r="E277" i="1"/>
  <c r="D277" i="1"/>
  <c r="C277" i="1"/>
  <c r="K276" i="1"/>
  <c r="H276" i="1"/>
  <c r="G276" i="1"/>
  <c r="E276" i="1"/>
  <c r="D276" i="1"/>
  <c r="C276" i="1"/>
  <c r="K275" i="1"/>
  <c r="H275" i="1"/>
  <c r="G275" i="1"/>
  <c r="E275" i="1"/>
  <c r="D275" i="1"/>
  <c r="C275" i="1"/>
  <c r="K274" i="1"/>
  <c r="H274" i="1"/>
  <c r="G274" i="1"/>
  <c r="E274" i="1"/>
  <c r="D274" i="1"/>
  <c r="C274" i="1"/>
  <c r="K273" i="1"/>
  <c r="H273" i="1"/>
  <c r="G273" i="1"/>
  <c r="E273" i="1"/>
  <c r="D273" i="1"/>
  <c r="C273" i="1"/>
  <c r="K272" i="1"/>
  <c r="H272" i="1"/>
  <c r="G272" i="1"/>
  <c r="E272" i="1"/>
  <c r="D272" i="1"/>
  <c r="C272" i="1"/>
  <c r="K271" i="1"/>
  <c r="H271" i="1"/>
  <c r="G271" i="1"/>
  <c r="E271" i="1"/>
  <c r="D271" i="1"/>
  <c r="C271" i="1"/>
  <c r="K270" i="1"/>
  <c r="H270" i="1"/>
  <c r="G270" i="1"/>
  <c r="E270" i="1"/>
  <c r="D270" i="1"/>
  <c r="C270" i="1"/>
  <c r="K269" i="1"/>
  <c r="H269" i="1"/>
  <c r="G269" i="1"/>
  <c r="E269" i="1"/>
  <c r="D269" i="1"/>
  <c r="C269" i="1"/>
  <c r="K268" i="1"/>
  <c r="H268" i="1"/>
  <c r="G268" i="1"/>
  <c r="E268" i="1"/>
  <c r="D268" i="1"/>
  <c r="C268" i="1"/>
  <c r="K267" i="1"/>
  <c r="H267" i="1"/>
  <c r="G267" i="1"/>
  <c r="E267" i="1"/>
  <c r="D267" i="1"/>
  <c r="C267" i="1"/>
  <c r="K266" i="1"/>
  <c r="H266" i="1"/>
  <c r="G266" i="1"/>
  <c r="E266" i="1"/>
  <c r="D266" i="1"/>
  <c r="C266" i="1"/>
  <c r="K265" i="1"/>
  <c r="H265" i="1"/>
  <c r="G265" i="1"/>
  <c r="E265" i="1"/>
  <c r="D265" i="1"/>
  <c r="C265" i="1"/>
  <c r="K264" i="1"/>
  <c r="H264" i="1"/>
  <c r="G264" i="1"/>
  <c r="E264" i="1"/>
  <c r="D264" i="1"/>
  <c r="C264" i="1"/>
  <c r="K263" i="1"/>
  <c r="H263" i="1"/>
  <c r="G263" i="1"/>
  <c r="E263" i="1"/>
  <c r="D263" i="1"/>
  <c r="C263" i="1"/>
  <c r="K262" i="1"/>
  <c r="H262" i="1"/>
  <c r="G262" i="1"/>
  <c r="E262" i="1"/>
  <c r="D262" i="1"/>
  <c r="C262" i="1"/>
  <c r="K261" i="1"/>
  <c r="H261" i="1"/>
  <c r="G261" i="1"/>
  <c r="E261" i="1"/>
  <c r="D261" i="1"/>
  <c r="C261" i="1"/>
  <c r="K260" i="1"/>
  <c r="H260" i="1"/>
  <c r="G260" i="1"/>
  <c r="E260" i="1"/>
  <c r="D260" i="1"/>
  <c r="C260" i="1"/>
  <c r="K259" i="1"/>
  <c r="H259" i="1"/>
  <c r="G259" i="1"/>
  <c r="E259" i="1"/>
  <c r="D259" i="1"/>
  <c r="C259" i="1"/>
  <c r="K258" i="1"/>
  <c r="H258" i="1"/>
  <c r="G258" i="1"/>
  <c r="E258" i="1"/>
  <c r="D258" i="1"/>
  <c r="C258" i="1"/>
  <c r="K257" i="1"/>
  <c r="H257" i="1"/>
  <c r="G257" i="1"/>
  <c r="E257" i="1"/>
  <c r="D257" i="1"/>
  <c r="C257" i="1"/>
  <c r="K256" i="1"/>
  <c r="H256" i="1"/>
  <c r="G256" i="1"/>
  <c r="E256" i="1"/>
  <c r="D256" i="1"/>
  <c r="C256" i="1"/>
  <c r="K255" i="1"/>
  <c r="H255" i="1"/>
  <c r="G255" i="1"/>
  <c r="E255" i="1"/>
  <c r="D255" i="1"/>
  <c r="C255" i="1"/>
  <c r="K254" i="1"/>
  <c r="H254" i="1"/>
  <c r="G254" i="1"/>
  <c r="E254" i="1"/>
  <c r="D254" i="1"/>
  <c r="C254" i="1"/>
  <c r="K253" i="1"/>
  <c r="H253" i="1"/>
  <c r="G253" i="1"/>
  <c r="E253" i="1"/>
  <c r="D253" i="1"/>
  <c r="C253" i="1"/>
  <c r="K252" i="1"/>
  <c r="H252" i="1"/>
  <c r="G252" i="1"/>
  <c r="E252" i="1"/>
  <c r="D252" i="1"/>
  <c r="C252" i="1"/>
  <c r="K251" i="1"/>
  <c r="H251" i="1"/>
  <c r="G251" i="1"/>
  <c r="E251" i="1"/>
  <c r="D251" i="1"/>
  <c r="C251" i="1"/>
  <c r="K250" i="1"/>
  <c r="H250" i="1"/>
  <c r="G250" i="1"/>
  <c r="E250" i="1"/>
  <c r="D250" i="1"/>
  <c r="C250" i="1"/>
  <c r="K249" i="1"/>
  <c r="H249" i="1"/>
  <c r="G249" i="1"/>
  <c r="E249" i="1"/>
  <c r="D249" i="1"/>
  <c r="C249" i="1"/>
  <c r="K248" i="1"/>
  <c r="H248" i="1"/>
  <c r="G248" i="1"/>
  <c r="E248" i="1"/>
  <c r="D248" i="1"/>
  <c r="C248" i="1"/>
  <c r="K247" i="1"/>
  <c r="H247" i="1"/>
  <c r="G247" i="1"/>
  <c r="E247" i="1"/>
  <c r="D247" i="1"/>
  <c r="C247" i="1"/>
  <c r="K246" i="1"/>
  <c r="H246" i="1"/>
  <c r="G246" i="1"/>
  <c r="E246" i="1"/>
  <c r="D246" i="1"/>
  <c r="C246" i="1"/>
  <c r="K245" i="1"/>
  <c r="H245" i="1"/>
  <c r="G245" i="1"/>
  <c r="E245" i="1"/>
  <c r="D245" i="1"/>
  <c r="C245" i="1"/>
  <c r="K244" i="1"/>
  <c r="H244" i="1"/>
  <c r="G244" i="1"/>
  <c r="E244" i="1"/>
  <c r="D244" i="1"/>
  <c r="C244" i="1"/>
  <c r="K243" i="1"/>
  <c r="H243" i="1"/>
  <c r="G243" i="1"/>
  <c r="E243" i="1"/>
  <c r="D243" i="1"/>
  <c r="C243" i="1"/>
  <c r="K242" i="1"/>
  <c r="H242" i="1"/>
  <c r="G242" i="1"/>
  <c r="E242" i="1"/>
  <c r="C242" i="1"/>
  <c r="K241" i="1"/>
  <c r="H241" i="1"/>
  <c r="G241" i="1"/>
  <c r="E241" i="1"/>
  <c r="D241" i="1"/>
  <c r="C241" i="1"/>
  <c r="K240" i="1"/>
  <c r="H240" i="1"/>
  <c r="G240" i="1"/>
  <c r="E240" i="1"/>
  <c r="D240" i="1"/>
  <c r="C240" i="1"/>
  <c r="K239" i="1"/>
  <c r="H239" i="1"/>
  <c r="G239" i="1"/>
  <c r="E239" i="1"/>
  <c r="D239" i="1"/>
  <c r="C239" i="1"/>
  <c r="K238" i="1"/>
  <c r="H238" i="1"/>
  <c r="G238" i="1"/>
  <c r="E238" i="1"/>
  <c r="D238" i="1"/>
  <c r="C238" i="1"/>
  <c r="K237" i="1"/>
  <c r="H237" i="1"/>
  <c r="G237" i="1"/>
  <c r="E237" i="1"/>
  <c r="D237" i="1"/>
  <c r="C237" i="1"/>
  <c r="K236" i="1"/>
  <c r="H236" i="1"/>
  <c r="G236" i="1"/>
  <c r="E236" i="1"/>
  <c r="D236" i="1"/>
  <c r="C236" i="1"/>
  <c r="K235" i="1"/>
  <c r="H235" i="1"/>
  <c r="G235" i="1"/>
  <c r="E235" i="1"/>
  <c r="D235" i="1"/>
  <c r="C235" i="1"/>
  <c r="K234" i="1"/>
  <c r="H234" i="1"/>
  <c r="G234" i="1"/>
  <c r="E234" i="1"/>
  <c r="D234" i="1"/>
  <c r="C234" i="1"/>
  <c r="K233" i="1"/>
  <c r="H233" i="1"/>
  <c r="G233" i="1"/>
  <c r="E233" i="1"/>
  <c r="D233" i="1"/>
  <c r="C233" i="1"/>
  <c r="K232" i="1"/>
  <c r="H232" i="1"/>
  <c r="G232" i="1"/>
  <c r="E232" i="1"/>
  <c r="D232" i="1"/>
  <c r="C232" i="1"/>
  <c r="K231" i="1"/>
  <c r="H231" i="1"/>
  <c r="G231" i="1"/>
  <c r="E231" i="1"/>
  <c r="D231" i="1"/>
  <c r="C231" i="1"/>
  <c r="K230" i="1"/>
  <c r="H230" i="1"/>
  <c r="G230" i="1"/>
  <c r="E230" i="1"/>
  <c r="D230" i="1"/>
  <c r="C230" i="1"/>
  <c r="K229" i="1"/>
  <c r="H229" i="1"/>
  <c r="G229" i="1"/>
  <c r="E229" i="1"/>
  <c r="D229" i="1"/>
  <c r="C229" i="1"/>
  <c r="K228" i="1"/>
  <c r="H228" i="1"/>
  <c r="G228" i="1"/>
  <c r="E228" i="1"/>
  <c r="D228" i="1"/>
  <c r="C228" i="1"/>
  <c r="K227" i="1"/>
  <c r="H227" i="1"/>
  <c r="G227" i="1"/>
  <c r="E227" i="1"/>
  <c r="D227" i="1"/>
  <c r="C227" i="1"/>
  <c r="K226" i="1"/>
  <c r="H226" i="1"/>
  <c r="G226" i="1"/>
  <c r="E226" i="1"/>
  <c r="D226" i="1"/>
  <c r="C226" i="1"/>
  <c r="K225" i="1"/>
  <c r="H225" i="1"/>
  <c r="G225" i="1"/>
  <c r="E225" i="1"/>
  <c r="D225" i="1"/>
  <c r="C225" i="1"/>
  <c r="K224" i="1"/>
  <c r="H224" i="1"/>
  <c r="G224" i="1"/>
  <c r="E224" i="1"/>
  <c r="D224" i="1"/>
  <c r="C224" i="1"/>
  <c r="K223" i="1"/>
  <c r="H223" i="1"/>
  <c r="G223" i="1"/>
  <c r="E223" i="1"/>
  <c r="D223" i="1"/>
  <c r="C223" i="1"/>
  <c r="K222" i="1"/>
  <c r="H222" i="1"/>
  <c r="G222" i="1"/>
  <c r="E222" i="1"/>
  <c r="D222" i="1"/>
  <c r="C222" i="1"/>
  <c r="K221" i="1"/>
  <c r="H221" i="1"/>
  <c r="G221" i="1"/>
  <c r="E221" i="1"/>
  <c r="D221" i="1"/>
  <c r="C221" i="1"/>
  <c r="K220" i="1"/>
  <c r="H220" i="1"/>
  <c r="G220" i="1"/>
  <c r="E220" i="1"/>
  <c r="D220" i="1"/>
  <c r="C220" i="1"/>
  <c r="K219" i="1"/>
  <c r="H219" i="1"/>
  <c r="G219" i="1"/>
  <c r="E219" i="1"/>
  <c r="D219" i="1"/>
  <c r="C219" i="1"/>
  <c r="K218" i="1"/>
  <c r="H218" i="1"/>
  <c r="G218" i="1"/>
  <c r="E218" i="1"/>
  <c r="D218" i="1"/>
  <c r="C218" i="1"/>
  <c r="K217" i="1"/>
  <c r="H217" i="1"/>
  <c r="G217" i="1"/>
  <c r="E217" i="1"/>
  <c r="D217" i="1"/>
  <c r="C217" i="1"/>
  <c r="K216" i="1"/>
  <c r="H216" i="1"/>
  <c r="G216" i="1"/>
  <c r="E216" i="1"/>
  <c r="D216" i="1"/>
  <c r="C216" i="1"/>
  <c r="K215" i="1"/>
  <c r="H215" i="1"/>
  <c r="G215" i="1"/>
  <c r="E215" i="1"/>
  <c r="D215" i="1"/>
  <c r="C215" i="1"/>
  <c r="K214" i="1"/>
  <c r="H214" i="1"/>
  <c r="G214" i="1"/>
  <c r="E214" i="1"/>
  <c r="D214" i="1"/>
  <c r="C214" i="1"/>
  <c r="K213" i="1"/>
  <c r="H213" i="1"/>
  <c r="G213" i="1"/>
  <c r="E213" i="1"/>
  <c r="D213" i="1"/>
  <c r="C213" i="1"/>
  <c r="K212" i="1"/>
  <c r="H212" i="1"/>
  <c r="G212" i="1"/>
  <c r="E212" i="1"/>
  <c r="D212" i="1"/>
  <c r="C212" i="1"/>
  <c r="K211" i="1"/>
  <c r="H211" i="1"/>
  <c r="G211" i="1"/>
  <c r="E211" i="1"/>
  <c r="D211" i="1"/>
  <c r="C211" i="1"/>
  <c r="K210" i="1"/>
  <c r="H210" i="1"/>
  <c r="G210" i="1"/>
  <c r="E210" i="1"/>
  <c r="D210" i="1"/>
  <c r="C210" i="1"/>
  <c r="K209" i="1"/>
  <c r="H209" i="1"/>
  <c r="G209" i="1"/>
  <c r="E209" i="1"/>
  <c r="D209" i="1"/>
  <c r="C209" i="1"/>
  <c r="K208" i="1"/>
  <c r="H208" i="1"/>
  <c r="G208" i="1"/>
  <c r="E208" i="1"/>
  <c r="D208" i="1"/>
  <c r="C208" i="1"/>
  <c r="K207" i="1"/>
  <c r="H207" i="1"/>
  <c r="G207" i="1"/>
  <c r="E207" i="1"/>
  <c r="D207" i="1"/>
  <c r="C207" i="1"/>
  <c r="K206" i="1"/>
  <c r="H206" i="1"/>
  <c r="G206" i="1"/>
  <c r="E206" i="1"/>
  <c r="D206" i="1"/>
  <c r="C206" i="1"/>
  <c r="K205" i="1"/>
  <c r="H205" i="1"/>
  <c r="G205" i="1"/>
  <c r="E205" i="1"/>
  <c r="D205" i="1"/>
  <c r="C205" i="1"/>
  <c r="K204" i="1"/>
  <c r="H204" i="1"/>
  <c r="G204" i="1"/>
  <c r="E204" i="1"/>
  <c r="D204" i="1"/>
  <c r="C204" i="1"/>
  <c r="K203" i="1"/>
  <c r="H203" i="1"/>
  <c r="G203" i="1"/>
  <c r="E203" i="1"/>
  <c r="D203" i="1"/>
  <c r="C203" i="1"/>
  <c r="K202" i="1"/>
  <c r="H202" i="1"/>
  <c r="G202" i="1"/>
  <c r="E202" i="1"/>
  <c r="D202" i="1"/>
  <c r="C202" i="1"/>
  <c r="K201" i="1"/>
  <c r="H201" i="1"/>
  <c r="G201" i="1"/>
  <c r="E201" i="1"/>
  <c r="D201" i="1"/>
  <c r="C201" i="1"/>
  <c r="K200" i="1"/>
  <c r="H200" i="1"/>
  <c r="G200" i="1"/>
  <c r="E200" i="1"/>
  <c r="D200" i="1"/>
  <c r="C200" i="1"/>
  <c r="K199" i="1"/>
  <c r="H199" i="1"/>
  <c r="G199" i="1"/>
  <c r="E199" i="1"/>
  <c r="D199" i="1"/>
  <c r="C199" i="1"/>
  <c r="K198" i="1"/>
  <c r="H198" i="1"/>
  <c r="G198" i="1"/>
  <c r="E198" i="1"/>
  <c r="D198" i="1"/>
  <c r="C198" i="1"/>
  <c r="K197" i="1"/>
  <c r="H197" i="1"/>
  <c r="G197" i="1"/>
  <c r="E197" i="1"/>
  <c r="D197" i="1"/>
  <c r="C197" i="1"/>
  <c r="K196" i="1"/>
  <c r="H196" i="1"/>
  <c r="G196" i="1"/>
  <c r="E196" i="1"/>
  <c r="D196" i="1"/>
  <c r="C196" i="1"/>
  <c r="K195" i="1"/>
  <c r="H195" i="1"/>
  <c r="G195" i="1"/>
  <c r="E195" i="1"/>
  <c r="D195" i="1"/>
  <c r="C195" i="1"/>
  <c r="K194" i="1"/>
  <c r="H194" i="1"/>
  <c r="G194" i="1"/>
  <c r="E194" i="1"/>
  <c r="D194" i="1"/>
  <c r="C194" i="1"/>
  <c r="K193" i="1"/>
  <c r="H193" i="1"/>
  <c r="G193" i="1"/>
  <c r="E193" i="1"/>
  <c r="D193" i="1"/>
  <c r="C193" i="1"/>
  <c r="K192" i="1"/>
  <c r="H192" i="1"/>
  <c r="G192" i="1"/>
  <c r="E192" i="1"/>
  <c r="D192" i="1"/>
  <c r="C192" i="1"/>
  <c r="K191" i="1"/>
  <c r="H191" i="1"/>
  <c r="G191" i="1"/>
  <c r="E191" i="1"/>
  <c r="D191" i="1"/>
  <c r="C191" i="1"/>
  <c r="K190" i="1"/>
  <c r="H190" i="1"/>
  <c r="G190" i="1"/>
  <c r="E190" i="1"/>
  <c r="D190" i="1"/>
  <c r="C190" i="1"/>
  <c r="K189" i="1"/>
  <c r="H189" i="1"/>
  <c r="G189" i="1"/>
  <c r="E189" i="1"/>
  <c r="D189" i="1"/>
  <c r="C189" i="1"/>
  <c r="K188" i="1"/>
  <c r="H188" i="1"/>
  <c r="G188" i="1"/>
  <c r="E188" i="1"/>
  <c r="D188" i="1"/>
  <c r="C188" i="1"/>
  <c r="K187" i="1"/>
  <c r="H187" i="1"/>
  <c r="G187" i="1"/>
  <c r="E187" i="1"/>
  <c r="D187" i="1"/>
  <c r="C187" i="1"/>
  <c r="K186" i="1"/>
  <c r="H186" i="1"/>
  <c r="G186" i="1"/>
  <c r="E186" i="1"/>
  <c r="D186" i="1"/>
  <c r="C186" i="1"/>
  <c r="K185" i="1"/>
  <c r="H185" i="1"/>
  <c r="G185" i="1"/>
  <c r="E185" i="1"/>
  <c r="D185" i="1"/>
  <c r="C185" i="1"/>
  <c r="K184" i="1"/>
  <c r="H184" i="1"/>
  <c r="G184" i="1"/>
  <c r="E184" i="1"/>
  <c r="D184" i="1"/>
  <c r="C184" i="1"/>
  <c r="K183" i="1"/>
  <c r="H183" i="1"/>
  <c r="G183" i="1"/>
  <c r="E183" i="1"/>
  <c r="D183" i="1"/>
  <c r="C183" i="1"/>
  <c r="K182" i="1"/>
  <c r="H182" i="1"/>
  <c r="G182" i="1"/>
  <c r="E182" i="1"/>
  <c r="D182" i="1"/>
  <c r="C182" i="1"/>
  <c r="K181" i="1"/>
  <c r="H181" i="1"/>
  <c r="G181" i="1"/>
  <c r="E181" i="1"/>
  <c r="D181" i="1"/>
  <c r="C181" i="1"/>
  <c r="K180" i="1"/>
  <c r="H180" i="1"/>
  <c r="G180" i="1"/>
  <c r="E180" i="1"/>
  <c r="D180" i="1"/>
  <c r="C180" i="1"/>
  <c r="K179" i="1"/>
  <c r="H179" i="1"/>
  <c r="G179" i="1"/>
  <c r="E179" i="1"/>
  <c r="D179" i="1"/>
  <c r="C179" i="1"/>
  <c r="K178" i="1"/>
  <c r="H178" i="1"/>
  <c r="G178" i="1"/>
  <c r="E178" i="1"/>
  <c r="D178" i="1"/>
  <c r="C178" i="1"/>
  <c r="K177" i="1"/>
  <c r="H177" i="1"/>
  <c r="G177" i="1"/>
  <c r="E177" i="1"/>
  <c r="D177" i="1"/>
  <c r="C177" i="1"/>
  <c r="K176" i="1"/>
  <c r="H176" i="1"/>
  <c r="G176" i="1"/>
  <c r="E176" i="1"/>
  <c r="D176" i="1"/>
  <c r="C176" i="1"/>
  <c r="K175" i="1"/>
  <c r="H175" i="1"/>
  <c r="G175" i="1"/>
  <c r="E175" i="1"/>
  <c r="D175" i="1"/>
  <c r="C175" i="1"/>
  <c r="K174" i="1"/>
  <c r="H174" i="1"/>
  <c r="G174" i="1"/>
  <c r="E174" i="1"/>
  <c r="D174" i="1"/>
  <c r="C174" i="1"/>
  <c r="K173" i="1"/>
  <c r="H173" i="1"/>
  <c r="G173" i="1"/>
  <c r="E173" i="1"/>
  <c r="D173" i="1"/>
  <c r="C173" i="1"/>
  <c r="K172" i="1"/>
  <c r="H172" i="1"/>
  <c r="G172" i="1"/>
  <c r="E172" i="1"/>
  <c r="D172" i="1"/>
  <c r="C172" i="1"/>
  <c r="K171" i="1"/>
  <c r="H171" i="1"/>
  <c r="G171" i="1"/>
  <c r="E171" i="1"/>
  <c r="D171" i="1"/>
  <c r="C171" i="1"/>
  <c r="K170" i="1"/>
  <c r="H170" i="1"/>
  <c r="G170" i="1"/>
  <c r="E170" i="1"/>
  <c r="D170" i="1"/>
  <c r="C170" i="1"/>
  <c r="K169" i="1"/>
  <c r="H169" i="1"/>
  <c r="G169" i="1"/>
  <c r="E169" i="1"/>
  <c r="D169" i="1"/>
  <c r="C169" i="1"/>
  <c r="K168" i="1"/>
  <c r="H168" i="1"/>
  <c r="G168" i="1"/>
  <c r="E168" i="1"/>
  <c r="D168" i="1"/>
  <c r="C168" i="1"/>
  <c r="K167" i="1"/>
  <c r="H167" i="1"/>
  <c r="G167" i="1"/>
  <c r="E167" i="1"/>
  <c r="D167" i="1"/>
  <c r="C167" i="1"/>
  <c r="K166" i="1"/>
  <c r="H166" i="1"/>
  <c r="G166" i="1"/>
  <c r="E166" i="1"/>
  <c r="D166" i="1"/>
  <c r="C166" i="1"/>
  <c r="K165" i="1"/>
  <c r="H165" i="1"/>
  <c r="G165" i="1"/>
  <c r="E165" i="1"/>
  <c r="D165" i="1"/>
  <c r="C165" i="1"/>
  <c r="K164" i="1"/>
  <c r="H164" i="1"/>
  <c r="G164" i="1"/>
  <c r="E164" i="1"/>
  <c r="D164" i="1"/>
  <c r="C164" i="1"/>
  <c r="K163" i="1"/>
  <c r="H163" i="1"/>
  <c r="G163" i="1"/>
  <c r="E163" i="1"/>
  <c r="D163" i="1"/>
  <c r="C163" i="1"/>
  <c r="K162" i="1"/>
  <c r="H162" i="1"/>
  <c r="G162" i="1"/>
  <c r="E162" i="1"/>
  <c r="D162" i="1"/>
  <c r="C162" i="1"/>
  <c r="K161" i="1"/>
  <c r="H161" i="1"/>
  <c r="G161" i="1"/>
  <c r="E161" i="1"/>
  <c r="D161" i="1"/>
  <c r="C161" i="1"/>
  <c r="K160" i="1"/>
  <c r="H160" i="1"/>
  <c r="G160" i="1"/>
  <c r="E160" i="1"/>
  <c r="D160" i="1"/>
  <c r="C160" i="1"/>
  <c r="K159" i="1"/>
  <c r="H159" i="1"/>
  <c r="G159" i="1"/>
  <c r="E159" i="1"/>
  <c r="D159" i="1"/>
  <c r="C159" i="1"/>
  <c r="K158" i="1"/>
  <c r="H158" i="1"/>
  <c r="G158" i="1"/>
  <c r="E158" i="1"/>
  <c r="D158" i="1"/>
  <c r="C158" i="1"/>
  <c r="K157" i="1"/>
  <c r="H157" i="1"/>
  <c r="G157" i="1"/>
  <c r="E157" i="1"/>
  <c r="D157" i="1"/>
  <c r="C157" i="1"/>
  <c r="K156" i="1"/>
  <c r="H156" i="1"/>
  <c r="G156" i="1"/>
  <c r="E156" i="1"/>
  <c r="D156" i="1"/>
  <c r="C156" i="1"/>
  <c r="K155" i="1"/>
  <c r="H155" i="1"/>
  <c r="G155" i="1"/>
  <c r="E155" i="1"/>
  <c r="D155" i="1"/>
  <c r="C155" i="1"/>
  <c r="K154" i="1"/>
  <c r="H154" i="1"/>
  <c r="G154" i="1"/>
  <c r="E154" i="1"/>
  <c r="D154" i="1"/>
  <c r="C154" i="1"/>
  <c r="K153" i="1"/>
  <c r="H153" i="1"/>
  <c r="G153" i="1"/>
  <c r="E153" i="1"/>
  <c r="D153" i="1"/>
  <c r="C153" i="1"/>
  <c r="K152" i="1"/>
  <c r="H152" i="1"/>
  <c r="G152" i="1"/>
  <c r="E152" i="1"/>
  <c r="D152" i="1"/>
  <c r="C152" i="1"/>
  <c r="K151" i="1"/>
  <c r="H151" i="1"/>
  <c r="G151" i="1"/>
  <c r="E151" i="1"/>
  <c r="D151" i="1"/>
  <c r="C151" i="1"/>
  <c r="K150" i="1"/>
  <c r="H150" i="1"/>
  <c r="G150" i="1"/>
  <c r="E150" i="1"/>
  <c r="D150" i="1"/>
  <c r="C150" i="1"/>
  <c r="K149" i="1"/>
  <c r="H149" i="1"/>
  <c r="G149" i="1"/>
  <c r="E149" i="1"/>
  <c r="D149" i="1"/>
  <c r="C149" i="1"/>
  <c r="K148" i="1"/>
  <c r="H148" i="1"/>
  <c r="G148" i="1"/>
  <c r="E148" i="1"/>
  <c r="D148" i="1"/>
  <c r="C148" i="1"/>
  <c r="K147" i="1"/>
  <c r="H147" i="1"/>
  <c r="G147" i="1"/>
  <c r="E147" i="1"/>
  <c r="D147" i="1"/>
  <c r="C147" i="1"/>
  <c r="K146" i="1"/>
  <c r="H146" i="1"/>
  <c r="G146" i="1"/>
  <c r="E146" i="1"/>
  <c r="D146" i="1"/>
  <c r="C146" i="1"/>
  <c r="K145" i="1"/>
  <c r="H145" i="1"/>
  <c r="G145" i="1"/>
  <c r="E145" i="1"/>
  <c r="D145" i="1"/>
  <c r="C145" i="1"/>
  <c r="K144" i="1"/>
  <c r="H144" i="1"/>
  <c r="G144" i="1"/>
  <c r="E144" i="1"/>
  <c r="D144" i="1"/>
  <c r="C144" i="1"/>
  <c r="K143" i="1"/>
  <c r="H143" i="1"/>
  <c r="G143" i="1"/>
  <c r="E143" i="1"/>
  <c r="D143" i="1"/>
  <c r="C143" i="1"/>
  <c r="K142" i="1"/>
  <c r="H142" i="1"/>
  <c r="G142" i="1"/>
  <c r="E142" i="1"/>
  <c r="D142" i="1"/>
  <c r="C142" i="1"/>
  <c r="K141" i="1"/>
  <c r="H141" i="1"/>
  <c r="G141" i="1"/>
  <c r="E141" i="1"/>
  <c r="D141" i="1"/>
  <c r="C141" i="1"/>
  <c r="K140" i="1"/>
  <c r="H140" i="1"/>
  <c r="G140" i="1"/>
  <c r="E140" i="1"/>
  <c r="D140" i="1"/>
  <c r="C140" i="1"/>
  <c r="K139" i="1"/>
  <c r="H139" i="1"/>
  <c r="G139" i="1"/>
  <c r="E139" i="1"/>
  <c r="D139" i="1"/>
  <c r="C139" i="1"/>
  <c r="K138" i="1"/>
  <c r="H138" i="1"/>
  <c r="G138" i="1"/>
  <c r="E138" i="1"/>
  <c r="D138" i="1"/>
  <c r="C138" i="1"/>
  <c r="K137" i="1"/>
  <c r="H137" i="1"/>
  <c r="G137" i="1"/>
  <c r="E137" i="1"/>
  <c r="D137" i="1"/>
  <c r="C137" i="1"/>
  <c r="K136" i="1"/>
  <c r="H136" i="1"/>
  <c r="G136" i="1"/>
  <c r="E136" i="1"/>
  <c r="D136" i="1"/>
  <c r="C136" i="1"/>
  <c r="K135" i="1"/>
  <c r="H135" i="1"/>
  <c r="G135" i="1"/>
  <c r="E135" i="1"/>
  <c r="D135" i="1"/>
  <c r="C135" i="1"/>
  <c r="K134" i="1"/>
  <c r="H134" i="1"/>
  <c r="G134" i="1"/>
  <c r="E134" i="1"/>
  <c r="D134" i="1"/>
  <c r="C134" i="1"/>
  <c r="K133" i="1"/>
  <c r="H133" i="1"/>
  <c r="G133" i="1"/>
  <c r="E133" i="1"/>
  <c r="D133" i="1"/>
  <c r="C133" i="1"/>
  <c r="K132" i="1"/>
  <c r="H132" i="1"/>
  <c r="G132" i="1"/>
  <c r="E132" i="1"/>
  <c r="D132" i="1"/>
  <c r="C132" i="1"/>
  <c r="K131" i="1"/>
  <c r="H131" i="1"/>
  <c r="G131" i="1"/>
  <c r="E131" i="1"/>
  <c r="D131" i="1"/>
  <c r="C131" i="1"/>
  <c r="K130" i="1"/>
  <c r="H130" i="1"/>
  <c r="G130" i="1"/>
  <c r="E130" i="1"/>
  <c r="D130" i="1"/>
  <c r="C130" i="1"/>
  <c r="K129" i="1"/>
  <c r="H129" i="1"/>
  <c r="G129" i="1"/>
  <c r="E129" i="1"/>
  <c r="D129" i="1"/>
  <c r="C129" i="1"/>
  <c r="K128" i="1"/>
  <c r="H128" i="1"/>
  <c r="G128" i="1"/>
  <c r="E128" i="1"/>
  <c r="D128" i="1"/>
  <c r="C128" i="1"/>
  <c r="K127" i="1"/>
  <c r="H127" i="1"/>
  <c r="G127" i="1"/>
  <c r="E127" i="1"/>
  <c r="D127" i="1"/>
  <c r="C127" i="1"/>
  <c r="K126" i="1"/>
  <c r="H126" i="1"/>
  <c r="G126" i="1"/>
  <c r="E126" i="1"/>
  <c r="D126" i="1"/>
  <c r="C126" i="1"/>
  <c r="K125" i="1"/>
  <c r="H125" i="1"/>
  <c r="G125" i="1"/>
  <c r="E125" i="1"/>
  <c r="D125" i="1"/>
  <c r="C125" i="1"/>
  <c r="K124" i="1"/>
  <c r="H124" i="1"/>
  <c r="G124" i="1"/>
  <c r="E124" i="1"/>
  <c r="D124" i="1"/>
  <c r="C124" i="1"/>
  <c r="K123" i="1"/>
  <c r="H123" i="1"/>
  <c r="G123" i="1"/>
  <c r="E123" i="1"/>
  <c r="D123" i="1"/>
  <c r="C123" i="1"/>
  <c r="K122" i="1"/>
  <c r="H122" i="1"/>
  <c r="G122" i="1"/>
  <c r="E122" i="1"/>
  <c r="D122" i="1"/>
  <c r="C122" i="1"/>
  <c r="K121" i="1"/>
  <c r="H121" i="1"/>
  <c r="G121" i="1"/>
  <c r="E121" i="1"/>
  <c r="D121" i="1"/>
  <c r="C121" i="1"/>
  <c r="K120" i="1"/>
  <c r="H120" i="1"/>
  <c r="G120" i="1"/>
  <c r="E120" i="1"/>
  <c r="D120" i="1"/>
  <c r="C120" i="1"/>
  <c r="K119" i="1"/>
  <c r="H119" i="1"/>
  <c r="G119" i="1"/>
  <c r="E119" i="1"/>
  <c r="D119" i="1"/>
  <c r="C119" i="1"/>
  <c r="K118" i="1"/>
  <c r="H118" i="1"/>
  <c r="G118" i="1"/>
  <c r="E118" i="1"/>
  <c r="D118" i="1"/>
  <c r="C118" i="1"/>
  <c r="K117" i="1"/>
  <c r="H117" i="1"/>
  <c r="G117" i="1"/>
  <c r="E117" i="1"/>
  <c r="D117" i="1"/>
  <c r="C117" i="1"/>
  <c r="K116" i="1"/>
  <c r="H116" i="1"/>
  <c r="G116" i="1"/>
  <c r="E116" i="1"/>
  <c r="D116" i="1"/>
  <c r="C116" i="1"/>
  <c r="K115" i="1"/>
  <c r="H115" i="1"/>
  <c r="G115" i="1"/>
  <c r="E115" i="1"/>
  <c r="D115" i="1"/>
  <c r="C115" i="1"/>
  <c r="K114" i="1"/>
  <c r="H114" i="1"/>
  <c r="G114" i="1"/>
  <c r="E114" i="1"/>
  <c r="D114" i="1"/>
  <c r="C114" i="1"/>
  <c r="K113" i="1"/>
  <c r="H113" i="1"/>
  <c r="G113" i="1"/>
  <c r="E113" i="1"/>
  <c r="D113" i="1"/>
  <c r="C113" i="1"/>
  <c r="K112" i="1"/>
  <c r="H112" i="1"/>
  <c r="G112" i="1"/>
  <c r="E112" i="1"/>
  <c r="D112" i="1"/>
  <c r="C112" i="1"/>
  <c r="K111" i="1"/>
  <c r="H111" i="1"/>
  <c r="G111" i="1"/>
  <c r="E111" i="1"/>
  <c r="D111" i="1"/>
  <c r="C111" i="1"/>
  <c r="K110" i="1"/>
  <c r="H110" i="1"/>
  <c r="G110" i="1"/>
  <c r="E110" i="1"/>
  <c r="D110" i="1"/>
  <c r="C110" i="1"/>
  <c r="K109" i="1"/>
  <c r="H109" i="1"/>
  <c r="G109" i="1"/>
  <c r="E109" i="1"/>
  <c r="D109" i="1"/>
  <c r="C109" i="1"/>
  <c r="K108" i="1"/>
  <c r="H108" i="1"/>
  <c r="G108" i="1"/>
  <c r="E108" i="1"/>
  <c r="D108" i="1"/>
  <c r="C108" i="1"/>
  <c r="K107" i="1"/>
  <c r="H107" i="1"/>
  <c r="G107" i="1"/>
  <c r="E107" i="1"/>
  <c r="D107" i="1"/>
  <c r="C107" i="1"/>
  <c r="K106" i="1"/>
  <c r="H106" i="1"/>
  <c r="G106" i="1"/>
  <c r="E106" i="1"/>
  <c r="D106" i="1"/>
  <c r="C106" i="1"/>
  <c r="K105" i="1"/>
  <c r="H105" i="1"/>
  <c r="G105" i="1"/>
  <c r="E105" i="1"/>
  <c r="D105" i="1"/>
  <c r="C105" i="1"/>
  <c r="K104" i="1"/>
  <c r="H104" i="1"/>
  <c r="G104" i="1"/>
  <c r="E104" i="1"/>
  <c r="C104" i="1"/>
  <c r="K103" i="1"/>
  <c r="H103" i="1"/>
  <c r="G103" i="1"/>
  <c r="E103" i="1"/>
  <c r="D103" i="1"/>
  <c r="C103" i="1"/>
  <c r="K102" i="1"/>
  <c r="H102" i="1"/>
  <c r="G102" i="1"/>
  <c r="E102" i="1"/>
  <c r="D102" i="1"/>
  <c r="C102" i="1"/>
  <c r="K101" i="1"/>
  <c r="H101" i="1"/>
  <c r="G101" i="1"/>
  <c r="E101" i="1"/>
  <c r="D101" i="1"/>
  <c r="C101" i="1"/>
  <c r="K100" i="1"/>
  <c r="H100" i="1"/>
  <c r="G100" i="1"/>
  <c r="E100" i="1"/>
  <c r="D100" i="1"/>
  <c r="C100" i="1"/>
  <c r="K99" i="1"/>
  <c r="H99" i="1"/>
  <c r="G99" i="1"/>
  <c r="E99" i="1"/>
  <c r="D99" i="1"/>
  <c r="C99" i="1"/>
  <c r="K98" i="1"/>
  <c r="H98" i="1"/>
  <c r="G98" i="1"/>
  <c r="E98" i="1"/>
  <c r="D98" i="1"/>
  <c r="C98" i="1"/>
  <c r="K97" i="1"/>
  <c r="H97" i="1"/>
  <c r="G97" i="1"/>
  <c r="E97" i="1"/>
  <c r="D97" i="1"/>
  <c r="C97" i="1"/>
  <c r="K96" i="1"/>
  <c r="H96" i="1"/>
  <c r="G96" i="1"/>
  <c r="E96" i="1"/>
  <c r="D96" i="1"/>
  <c r="C96" i="1"/>
  <c r="K95" i="1"/>
  <c r="H95" i="1"/>
  <c r="G95" i="1"/>
  <c r="E95" i="1"/>
  <c r="D95" i="1"/>
  <c r="C95" i="1"/>
  <c r="K94" i="1"/>
  <c r="H94" i="1"/>
  <c r="G94" i="1"/>
  <c r="E94" i="1"/>
  <c r="D94" i="1"/>
  <c r="C94" i="1"/>
  <c r="K93" i="1"/>
  <c r="H93" i="1"/>
  <c r="G93" i="1"/>
  <c r="E93" i="1"/>
  <c r="D93" i="1"/>
  <c r="C93" i="1"/>
  <c r="K92" i="1"/>
  <c r="H92" i="1"/>
  <c r="G92" i="1"/>
  <c r="E92" i="1"/>
  <c r="D92" i="1"/>
  <c r="C92" i="1"/>
  <c r="K91" i="1"/>
  <c r="H91" i="1"/>
  <c r="G91" i="1"/>
  <c r="E91" i="1"/>
  <c r="D91" i="1"/>
  <c r="C91" i="1"/>
  <c r="K90" i="1"/>
  <c r="H90" i="1"/>
  <c r="G90" i="1"/>
  <c r="E90" i="1"/>
  <c r="D90" i="1"/>
  <c r="C90" i="1"/>
  <c r="K89" i="1"/>
  <c r="H89" i="1"/>
  <c r="G89" i="1"/>
  <c r="E89" i="1"/>
  <c r="D89" i="1"/>
  <c r="C89" i="1"/>
  <c r="K88" i="1"/>
  <c r="H88" i="1"/>
  <c r="G88" i="1"/>
  <c r="E88" i="1"/>
  <c r="D88" i="1"/>
  <c r="C88" i="1"/>
  <c r="K87" i="1"/>
  <c r="H87" i="1"/>
  <c r="G87" i="1"/>
  <c r="E87" i="1"/>
  <c r="D87" i="1"/>
  <c r="C87" i="1"/>
  <c r="K86" i="1"/>
  <c r="H86" i="1"/>
  <c r="G86" i="1"/>
  <c r="E86" i="1"/>
  <c r="D86" i="1"/>
  <c r="C86" i="1"/>
  <c r="K85" i="1"/>
  <c r="H85" i="1"/>
  <c r="G85" i="1"/>
  <c r="E85" i="1"/>
  <c r="D85" i="1"/>
  <c r="C85" i="1"/>
  <c r="K84" i="1"/>
  <c r="H84" i="1"/>
  <c r="G84" i="1"/>
  <c r="E84" i="1"/>
  <c r="D84" i="1"/>
  <c r="C84" i="1"/>
  <c r="K83" i="1"/>
  <c r="H83" i="1"/>
  <c r="G83" i="1"/>
  <c r="E83" i="1"/>
  <c r="D83" i="1"/>
  <c r="C83" i="1"/>
  <c r="K82" i="1"/>
  <c r="H82" i="1"/>
  <c r="G82" i="1"/>
  <c r="E82" i="1"/>
  <c r="D82" i="1"/>
  <c r="C82" i="1"/>
  <c r="K81" i="1"/>
  <c r="H81" i="1"/>
  <c r="G81" i="1"/>
  <c r="E81" i="1"/>
  <c r="C81" i="1"/>
  <c r="K80" i="1"/>
  <c r="H80" i="1"/>
  <c r="G80" i="1"/>
  <c r="E80" i="1"/>
  <c r="C80" i="1"/>
  <c r="K79" i="1"/>
  <c r="H79" i="1"/>
  <c r="G79" i="1"/>
  <c r="E79" i="1"/>
  <c r="C79" i="1"/>
  <c r="K78" i="1"/>
  <c r="H78" i="1"/>
  <c r="G78" i="1"/>
  <c r="E78" i="1"/>
  <c r="C78" i="1"/>
  <c r="K77" i="1"/>
  <c r="H77" i="1"/>
  <c r="G77" i="1"/>
  <c r="E77" i="1"/>
  <c r="D77" i="1"/>
  <c r="C77" i="1"/>
  <c r="K76" i="1"/>
  <c r="H76" i="1"/>
  <c r="G76" i="1"/>
  <c r="E76" i="1"/>
  <c r="D76" i="1"/>
  <c r="C76" i="1"/>
  <c r="K75" i="1"/>
  <c r="H75" i="1"/>
  <c r="G75" i="1"/>
  <c r="E75" i="1"/>
  <c r="D75" i="1"/>
  <c r="C75" i="1"/>
  <c r="K74" i="1"/>
  <c r="H74" i="1"/>
  <c r="G74" i="1"/>
  <c r="E74" i="1"/>
  <c r="D74" i="1"/>
  <c r="C74" i="1"/>
  <c r="K73" i="1"/>
  <c r="H73" i="1"/>
  <c r="G73" i="1"/>
  <c r="E73" i="1"/>
  <c r="D73" i="1"/>
  <c r="C73" i="1"/>
  <c r="K72" i="1"/>
  <c r="H72" i="1"/>
  <c r="G72" i="1"/>
  <c r="E72" i="1"/>
  <c r="D72" i="1"/>
  <c r="C72" i="1"/>
  <c r="K71" i="1"/>
  <c r="H71" i="1"/>
  <c r="G71" i="1"/>
  <c r="E71" i="1"/>
  <c r="D71" i="1"/>
  <c r="C71" i="1"/>
  <c r="K70" i="1"/>
  <c r="H70" i="1"/>
  <c r="G70" i="1"/>
  <c r="E70" i="1"/>
  <c r="D70" i="1"/>
  <c r="C70" i="1"/>
  <c r="K69" i="1"/>
  <c r="H69" i="1"/>
  <c r="G69" i="1"/>
  <c r="E69" i="1"/>
  <c r="D69" i="1"/>
  <c r="C69" i="1"/>
  <c r="K68" i="1"/>
  <c r="H68" i="1"/>
  <c r="G68" i="1"/>
  <c r="E68" i="1"/>
  <c r="D68" i="1"/>
  <c r="C68" i="1"/>
  <c r="K67" i="1"/>
  <c r="H67" i="1"/>
  <c r="G67" i="1"/>
  <c r="E67" i="1"/>
  <c r="D67" i="1"/>
  <c r="C67" i="1"/>
  <c r="K66" i="1"/>
  <c r="H66" i="1"/>
  <c r="G66" i="1"/>
  <c r="E66" i="1"/>
  <c r="D66" i="1"/>
  <c r="C66" i="1"/>
  <c r="K65" i="1"/>
  <c r="H65" i="1"/>
  <c r="G65" i="1"/>
  <c r="E65" i="1"/>
  <c r="D65" i="1"/>
  <c r="C65" i="1"/>
  <c r="K64" i="1"/>
  <c r="H64" i="1"/>
  <c r="G64" i="1"/>
  <c r="E64" i="1"/>
  <c r="D64" i="1"/>
  <c r="C64" i="1"/>
  <c r="K63" i="1"/>
  <c r="H63" i="1"/>
  <c r="G63" i="1"/>
  <c r="E63" i="1"/>
  <c r="D63" i="1"/>
  <c r="C63" i="1"/>
  <c r="K62" i="1"/>
  <c r="H62" i="1"/>
  <c r="G62" i="1"/>
  <c r="E62" i="1"/>
  <c r="D62" i="1"/>
  <c r="C62" i="1"/>
  <c r="K61" i="1"/>
  <c r="H61" i="1"/>
  <c r="G61" i="1"/>
  <c r="E61" i="1"/>
  <c r="D61" i="1"/>
  <c r="C61" i="1"/>
  <c r="K60" i="1"/>
  <c r="H60" i="1"/>
  <c r="G60" i="1"/>
  <c r="E60" i="1"/>
  <c r="D60" i="1"/>
  <c r="C60" i="1"/>
  <c r="K59" i="1"/>
  <c r="H59" i="1"/>
  <c r="G59" i="1"/>
  <c r="E59" i="1"/>
  <c r="D59" i="1"/>
  <c r="C59" i="1"/>
  <c r="K58" i="1"/>
  <c r="H58" i="1"/>
  <c r="G58" i="1"/>
  <c r="E58" i="1"/>
  <c r="D58" i="1"/>
  <c r="C58" i="1"/>
  <c r="K57" i="1"/>
  <c r="H57" i="1"/>
  <c r="G57" i="1"/>
  <c r="E57" i="1"/>
  <c r="D57" i="1"/>
  <c r="C57" i="1"/>
  <c r="K56" i="1"/>
  <c r="H56" i="1"/>
  <c r="G56" i="1"/>
  <c r="E56" i="1"/>
  <c r="D56" i="1"/>
  <c r="C56" i="1"/>
  <c r="K55" i="1"/>
  <c r="H55" i="1"/>
  <c r="G55" i="1"/>
  <c r="E55" i="1"/>
  <c r="D55" i="1"/>
  <c r="C55" i="1"/>
  <c r="K54" i="1"/>
  <c r="H54" i="1"/>
  <c r="G54" i="1"/>
  <c r="E54" i="1"/>
  <c r="D54" i="1"/>
  <c r="C54" i="1"/>
  <c r="K53" i="1"/>
  <c r="H53" i="1"/>
  <c r="G53" i="1"/>
  <c r="E53" i="1"/>
  <c r="D53" i="1"/>
  <c r="C53" i="1"/>
  <c r="K52" i="1"/>
  <c r="H52" i="1"/>
  <c r="G52" i="1"/>
  <c r="E52" i="1"/>
  <c r="D52" i="1"/>
  <c r="C52" i="1"/>
  <c r="K51" i="1"/>
  <c r="H51" i="1"/>
  <c r="G51" i="1"/>
  <c r="E51" i="1"/>
  <c r="D51" i="1"/>
  <c r="C51" i="1"/>
  <c r="K50" i="1"/>
  <c r="H50" i="1"/>
  <c r="G50" i="1"/>
  <c r="E50" i="1"/>
  <c r="D50" i="1"/>
  <c r="C50" i="1"/>
  <c r="K49" i="1"/>
  <c r="H49" i="1"/>
  <c r="G49" i="1"/>
  <c r="E49" i="1"/>
  <c r="D49" i="1"/>
  <c r="C49" i="1"/>
  <c r="K48" i="1"/>
  <c r="H48" i="1"/>
  <c r="G48" i="1"/>
  <c r="E48" i="1"/>
  <c r="D48" i="1"/>
  <c r="C48" i="1"/>
  <c r="K47" i="1"/>
  <c r="H47" i="1"/>
  <c r="G47" i="1"/>
  <c r="E47" i="1"/>
  <c r="D47" i="1"/>
  <c r="C47" i="1"/>
  <c r="K46" i="1"/>
  <c r="H46" i="1"/>
  <c r="G46" i="1"/>
  <c r="E46" i="1"/>
  <c r="D46" i="1"/>
  <c r="C46" i="1"/>
  <c r="K45" i="1"/>
  <c r="H45" i="1"/>
  <c r="G45" i="1"/>
  <c r="E45" i="1"/>
  <c r="D45" i="1"/>
  <c r="C45" i="1"/>
  <c r="K44" i="1"/>
  <c r="H44" i="1"/>
  <c r="G44" i="1"/>
  <c r="E44" i="1"/>
  <c r="D44" i="1"/>
  <c r="C44" i="1"/>
  <c r="K43" i="1"/>
  <c r="H43" i="1"/>
  <c r="G43" i="1"/>
  <c r="E43" i="1"/>
  <c r="D43" i="1"/>
  <c r="C43" i="1"/>
  <c r="K42" i="1"/>
  <c r="H42" i="1"/>
  <c r="G42" i="1"/>
  <c r="E42" i="1"/>
  <c r="D42" i="1"/>
  <c r="C42" i="1"/>
  <c r="K41" i="1"/>
  <c r="H41" i="1"/>
  <c r="G41" i="1"/>
  <c r="E41" i="1"/>
  <c r="D41" i="1"/>
  <c r="C41" i="1"/>
  <c r="K40" i="1"/>
  <c r="H40" i="1"/>
  <c r="G40" i="1"/>
  <c r="E40" i="1"/>
  <c r="D40" i="1"/>
  <c r="C40" i="1"/>
  <c r="K39" i="1"/>
  <c r="H39" i="1"/>
  <c r="G39" i="1"/>
  <c r="E39" i="1"/>
  <c r="D39" i="1"/>
  <c r="C39" i="1"/>
  <c r="K38" i="1"/>
  <c r="H38" i="1"/>
  <c r="G38" i="1"/>
  <c r="E38" i="1"/>
  <c r="D38" i="1"/>
  <c r="C38" i="1"/>
  <c r="K37" i="1"/>
  <c r="H37" i="1"/>
  <c r="G37" i="1"/>
  <c r="E37" i="1"/>
  <c r="D37" i="1"/>
  <c r="C37" i="1"/>
  <c r="K36" i="1"/>
  <c r="H36" i="1"/>
  <c r="G36" i="1"/>
  <c r="E36" i="1"/>
  <c r="D36" i="1"/>
  <c r="C36" i="1"/>
  <c r="K35" i="1"/>
  <c r="H35" i="1"/>
  <c r="G35" i="1"/>
  <c r="E35" i="1"/>
  <c r="D35" i="1"/>
  <c r="C35" i="1"/>
  <c r="K34" i="1"/>
  <c r="H34" i="1"/>
  <c r="G34" i="1"/>
  <c r="E34" i="1"/>
  <c r="D34" i="1"/>
  <c r="C34" i="1"/>
  <c r="K33" i="1"/>
  <c r="H33" i="1"/>
  <c r="G33" i="1"/>
  <c r="E33" i="1"/>
  <c r="D33" i="1"/>
  <c r="C33" i="1"/>
  <c r="K32" i="1"/>
  <c r="H32" i="1"/>
  <c r="G32" i="1"/>
  <c r="E32" i="1"/>
  <c r="D32" i="1"/>
  <c r="C32" i="1"/>
  <c r="K31" i="1"/>
  <c r="H31" i="1"/>
  <c r="G31" i="1"/>
  <c r="E31" i="1"/>
  <c r="D31" i="1"/>
  <c r="C31" i="1"/>
  <c r="K30" i="1"/>
  <c r="H30" i="1"/>
  <c r="G30" i="1"/>
  <c r="E30" i="1"/>
  <c r="D30" i="1"/>
  <c r="C30" i="1"/>
  <c r="K29" i="1"/>
  <c r="H29" i="1"/>
  <c r="G29" i="1"/>
  <c r="E29" i="1"/>
  <c r="D29" i="1"/>
  <c r="C29" i="1"/>
  <c r="K28" i="1"/>
  <c r="H28" i="1"/>
  <c r="G28" i="1"/>
  <c r="E28" i="1"/>
  <c r="D28" i="1"/>
  <c r="C28" i="1"/>
  <c r="K27" i="1"/>
  <c r="H27" i="1"/>
  <c r="G27" i="1"/>
  <c r="E27" i="1"/>
  <c r="D27" i="1"/>
  <c r="C27" i="1"/>
  <c r="K26" i="1"/>
  <c r="H26" i="1"/>
  <c r="G26" i="1"/>
  <c r="E26" i="1"/>
  <c r="D26" i="1"/>
  <c r="C26" i="1"/>
  <c r="K25" i="1"/>
  <c r="H25" i="1"/>
  <c r="G25" i="1"/>
  <c r="E25" i="1"/>
  <c r="D25" i="1"/>
  <c r="C25" i="1"/>
  <c r="K24" i="1"/>
  <c r="H24" i="1"/>
  <c r="G24" i="1"/>
  <c r="E24" i="1"/>
  <c r="D24" i="1"/>
  <c r="C24" i="1"/>
  <c r="K23" i="1"/>
  <c r="H23" i="1"/>
  <c r="G23" i="1"/>
  <c r="E23" i="1"/>
  <c r="D23" i="1"/>
  <c r="C23" i="1"/>
  <c r="K22" i="1"/>
  <c r="H22" i="1"/>
  <c r="G22" i="1"/>
  <c r="E22" i="1"/>
  <c r="D22" i="1"/>
  <c r="C22" i="1"/>
  <c r="K21" i="1"/>
  <c r="H21" i="1"/>
  <c r="G21" i="1"/>
  <c r="E21" i="1"/>
  <c r="D21" i="1"/>
  <c r="C21" i="1"/>
  <c r="K20" i="1"/>
  <c r="H20" i="1"/>
  <c r="G20" i="1"/>
  <c r="E20" i="1"/>
  <c r="C20" i="1"/>
  <c r="K19" i="1"/>
  <c r="H19" i="1"/>
  <c r="G19" i="1"/>
  <c r="E19" i="1"/>
  <c r="D19" i="1"/>
  <c r="C19" i="1"/>
  <c r="K18" i="1"/>
  <c r="H18" i="1"/>
  <c r="G18" i="1"/>
  <c r="E18" i="1"/>
  <c r="D18" i="1"/>
  <c r="C18" i="1"/>
  <c r="K17" i="1"/>
  <c r="H17" i="1"/>
  <c r="G17" i="1"/>
  <c r="E17" i="1"/>
  <c r="D17" i="1"/>
  <c r="C17" i="1"/>
  <c r="K16" i="1"/>
  <c r="H16" i="1"/>
  <c r="G16" i="1"/>
  <c r="E16" i="1"/>
  <c r="C16" i="1"/>
  <c r="K15" i="1"/>
  <c r="H15" i="1"/>
  <c r="G15" i="1"/>
  <c r="E15" i="1"/>
  <c r="D15" i="1"/>
  <c r="C15" i="1"/>
  <c r="K14" i="1"/>
  <c r="H14" i="1"/>
  <c r="G14" i="1"/>
  <c r="E14" i="1"/>
  <c r="D14" i="1"/>
  <c r="C14" i="1"/>
  <c r="K13" i="1"/>
  <c r="H13" i="1"/>
  <c r="G13" i="1"/>
  <c r="E13" i="1"/>
  <c r="D13" i="1"/>
  <c r="C13" i="1"/>
  <c r="K12" i="1"/>
  <c r="H12" i="1"/>
  <c r="G12" i="1"/>
  <c r="E12" i="1"/>
  <c r="D12" i="1"/>
  <c r="C12" i="1"/>
  <c r="K11" i="1"/>
  <c r="H11" i="1"/>
  <c r="G11" i="1"/>
  <c r="E11" i="1"/>
  <c r="D11" i="1"/>
  <c r="C11" i="1"/>
  <c r="K10" i="1"/>
  <c r="H10" i="1"/>
  <c r="G10" i="1"/>
  <c r="E10" i="1"/>
  <c r="D10" i="1"/>
  <c r="C10" i="1"/>
  <c r="K9" i="1"/>
  <c r="H9" i="1"/>
  <c r="G9" i="1"/>
  <c r="E9" i="1"/>
  <c r="D9" i="1"/>
  <c r="C9" i="1"/>
  <c r="K8" i="1"/>
  <c r="H8" i="1"/>
  <c r="G8" i="1"/>
  <c r="E8" i="1"/>
  <c r="D8" i="1"/>
  <c r="C8" i="1"/>
  <c r="K7" i="1"/>
  <c r="H7" i="1"/>
  <c r="G7" i="1"/>
  <c r="E7" i="1"/>
  <c r="D7" i="1"/>
  <c r="C7" i="1"/>
  <c r="K6" i="1"/>
  <c r="H6" i="1"/>
  <c r="G6" i="1"/>
  <c r="E6" i="1"/>
  <c r="D6" i="1"/>
  <c r="C6" i="1"/>
  <c r="K5" i="1"/>
  <c r="H5" i="1"/>
  <c r="G5" i="1"/>
  <c r="E5" i="1"/>
  <c r="D5" i="1"/>
  <c r="C5" i="1"/>
  <c r="K4" i="1"/>
  <c r="H4" i="1"/>
  <c r="G4" i="1"/>
  <c r="E4" i="1"/>
  <c r="D4" i="1"/>
  <c r="C4" i="1"/>
  <c r="K3" i="1"/>
  <c r="H3" i="1"/>
  <c r="G3" i="1"/>
  <c r="E3" i="1"/>
  <c r="D3" i="1"/>
  <c r="C3" i="1"/>
  <c r="K2" i="1"/>
  <c r="H2" i="1"/>
  <c r="G2" i="1"/>
  <c r="E2" i="1"/>
  <c r="D2" i="1"/>
  <c r="C2" i="1"/>
  <c r="H1" i="1" l="1"/>
</calcChain>
</file>

<file path=xl/sharedStrings.xml><?xml version="1.0" encoding="utf-8"?>
<sst xmlns="http://schemas.openxmlformats.org/spreadsheetml/2006/main" count="11400" uniqueCount="108">
  <si>
    <t>ジャンル</t>
    <phoneticPr fontId="2"/>
  </si>
  <si>
    <t>資料番号</t>
  </si>
  <si>
    <t>書名</t>
  </si>
  <si>
    <t>巻次</t>
  </si>
  <si>
    <t>請求記号</t>
  </si>
  <si>
    <t>取得
価格</t>
    <rPh sb="0" eb="2">
      <t>シュトク</t>
    </rPh>
    <rPh sb="3" eb="5">
      <t>カカク</t>
    </rPh>
    <phoneticPr fontId="2"/>
  </si>
  <si>
    <t>売却価格</t>
    <rPh sb="0" eb="2">
      <t>バイキャク</t>
    </rPh>
    <rPh sb="2" eb="4">
      <t>カカク</t>
    </rPh>
    <phoneticPr fontId="2"/>
  </si>
  <si>
    <t>備考欄</t>
    <rPh sb="0" eb="2">
      <t>ビコウ</t>
    </rPh>
    <rPh sb="2" eb="3">
      <t>ラン</t>
    </rPh>
    <phoneticPr fontId="2"/>
  </si>
  <si>
    <t>*</t>
    <phoneticPr fontId="2"/>
  </si>
  <si>
    <t>Logical foundations / edited by Dov M. Gabbay, and C.J. Hogger and J.A. Robinson ; volume co-ordinator, J. Siekmann.-- Clarendon Press.-- (Handbook of logic in artificial intelligence and logic programming / edited by Dov M. Gabbay, and C.J. Hogger and J.A. Robinson ; v. 1).</t>
  </si>
  <si>
    <t>Deduction methodologies / edited by Dov M. Gabbay, and C.J. Hogger and J.A. Robinson ; volume co-ordinator, J. Siekmann.-- Clarendon Press.-- (Handbook of logic in artificial intelligence and logic programming / edited by Dov M. Gabbay, and C.J. Hogger and J.A. Robinson ; v. 2).</t>
  </si>
  <si>
    <t>Nonmonotonic reasoning and uncertain reasoning / edited by Dov M. Gabbay, and C.J. Hogger and J.A. Robinson ; volume co-ordinator, D. Nute.-- Clarendon Press.-- (Handbook of logic in artificial intelligence and logic programming / edited by Dov M. Gabbay, and C.J. Hogger and J.A. Robinson ; v. 3).</t>
  </si>
  <si>
    <t>Epistemic and temporal reasoning / edited by Dov M. Gabbay, C.J. Hogger and J.A. Robinson ; volume co-ordinator, Antony Galton.-- Clarendon Press.-- (Handbook of logic in artificial intelligence and logic programming / edited by Dov M. Gabbay, and C.J. Hogger and J.A. Robinson ; v. 4).</t>
  </si>
  <si>
    <t>Succeeding with the Booch and OMT methods : a practical approach / [Michael Jesse Chonoles, Terry Quatrani] ; Lockheed Martin Advanced Concepts Center, Rational Software Corporation.-- Addison-Wesley; c1996.-- (The Addison-Wesley series in object-oriented software engineering).</t>
  </si>
  <si>
    <t>照会番号</t>
    <rPh sb="0" eb="2">
      <t>ショウカイ</t>
    </rPh>
    <rPh sb="2" eb="4">
      <t>バンゴウ</t>
    </rPh>
    <phoneticPr fontId="2"/>
  </si>
  <si>
    <t>知識・学問一般</t>
    <rPh sb="0" eb="2">
      <t>チシキ</t>
    </rPh>
    <rPh sb="3" eb="5">
      <t>ガクモン</t>
    </rPh>
    <rPh sb="5" eb="7">
      <t>イッパン</t>
    </rPh>
    <phoneticPr fontId="5"/>
  </si>
  <si>
    <t>情報科学</t>
  </si>
  <si>
    <t>W◆U00F6◆rterbuch der Datentechnik : Englisch-Deutsch, Deutsch-English : 92000 Eintr◆U00E4◆ge (44000 deutsche und 48000 englishce) aller Gebiete der Informatik, mit Hauptbegriffen der angrenzenden Fachgebiete sowie des allgemeinen technischen Sprachgebrauchs (insgesamt 94 Fachgebiete) = Dictionary of computing : English-German, German-English : 92000 entries (48000 English and 44000 German) from all specialities of computing  science, with basic terms of contiguous fields and of general technical language (in total 94 specialities) / Vittorio Ferretti ; : hardcover.-- Springer; c1996.</t>
  </si>
  <si>
    <t>Gesture-based communication in human-computer interaction : International Gesture Workshop, GW '99, Gif-sur-Yvette, France, March 17-19, 1999 : proceedings / Annelies Braffort ... [et al.] (eds.).-- Springer; c1999.-- (Lecture notes in computer science ; 1739 . Lecture notes in artificial intelligence).</t>
  </si>
  <si>
    <t>セット優先</t>
    <rPh sb="3" eb="5">
      <t>ユウセン</t>
    </rPh>
    <phoneticPr fontId="5"/>
  </si>
  <si>
    <t>Recent advances in robot learning / edited by Judy A. Franklin, Tom M. Mitchell, Sebastian Thrun.-- Kluwer Academic; c1996.-- (The Kluwer international series in engineering and computer science ; SECS 368 . knowledge representation, learning and expert systems).</t>
  </si>
  <si>
    <t>Constraints and prospects / edited by Stephen Jos◆U00E9◆ Hanson, George A. Drastal, and Ronald L. Rivest.-- MIT Press; c1994.-- (Computational learning theory and natural learning systems / edited by Russell Greiner, Thomas Petsche and Stephen Jos◆U00E9◆ Hanson ; v. 1).</t>
  </si>
  <si>
    <t>Intersections between theory and experiment / edited by Stephen Jos◆U00E9◆ Hanson, Thomas Petsche, Michael Kearns, and Ronald L. Rivest.-- MIT Press; c1994.-- (Computational learning theory and natural learning systems / edited by Russell Greiner, Thomas Petsche and Stephen Jos◆U00E9◆ Hanson ; v. 2).</t>
  </si>
  <si>
    <t>="Selecting good models / edited by Thomas Petsche, Stephen Jos◆U00E9◆ Hanson, and Jude W. Shavlik.-- MIT Press; c1995.-- (Computational learning theory and natural learning systems / edited by Russell Greiner, Thomas Petsche and Stephen Jos◆U00E9◆ Hanson</t>
  </si>
  <si>
    <t>図書．書誌学</t>
  </si>
  <si>
    <t>ジャーナリスム・新聞</t>
    <rPh sb="8" eb="10">
      <t>シンブン</t>
    </rPh>
    <phoneticPr fontId="5"/>
  </si>
  <si>
    <t>叢書．全集</t>
    <rPh sb="0" eb="2">
      <t>ソウショ</t>
    </rPh>
    <phoneticPr fontId="5"/>
  </si>
  <si>
    <t>哲学</t>
    <phoneticPr fontId="5"/>
  </si>
  <si>
    <t>東洋思想</t>
    <phoneticPr fontId="5"/>
  </si>
  <si>
    <t>西洋哲学</t>
    <rPh sb="0" eb="2">
      <t>セイヨウ</t>
    </rPh>
    <rPh sb="2" eb="4">
      <t>テツガク</t>
    </rPh>
    <phoneticPr fontId="5"/>
  </si>
  <si>
    <t>心理学</t>
    <rPh sb="0" eb="3">
      <t>シンリガク</t>
    </rPh>
    <phoneticPr fontId="5"/>
  </si>
  <si>
    <t>倫理学．道徳</t>
    <rPh sb="0" eb="3">
      <t>リンリガク</t>
    </rPh>
    <rPh sb="4" eb="6">
      <t>ドウトク</t>
    </rPh>
    <phoneticPr fontId="5"/>
  </si>
  <si>
    <t>宗教</t>
    <rPh sb="0" eb="2">
      <t>シュウキョウ</t>
    </rPh>
    <phoneticPr fontId="5"/>
  </si>
  <si>
    <t>世界史</t>
    <rPh sb="0" eb="3">
      <t>セカイシ</t>
    </rPh>
    <phoneticPr fontId="5"/>
  </si>
  <si>
    <t>日本史</t>
    <rPh sb="0" eb="3">
      <t>ニホンシ</t>
    </rPh>
    <phoneticPr fontId="5"/>
  </si>
  <si>
    <t>ヨーロッパ史．西洋史</t>
    <phoneticPr fontId="5"/>
  </si>
  <si>
    <t>伝記</t>
    <phoneticPr fontId="5"/>
  </si>
  <si>
    <t>地理・地誌・紀行</t>
    <rPh sb="0" eb="2">
      <t>チリ</t>
    </rPh>
    <rPh sb="3" eb="5">
      <t>チシ</t>
    </rPh>
    <rPh sb="6" eb="8">
      <t>キコウ</t>
    </rPh>
    <phoneticPr fontId="5"/>
  </si>
  <si>
    <t>社会科学</t>
    <rPh sb="0" eb="2">
      <t>シャカイ</t>
    </rPh>
    <rPh sb="2" eb="4">
      <t>カガク</t>
    </rPh>
    <phoneticPr fontId="5"/>
  </si>
  <si>
    <t>政治</t>
    <rPh sb="0" eb="2">
      <t>セイジ</t>
    </rPh>
    <phoneticPr fontId="5"/>
  </si>
  <si>
    <t>法律</t>
    <rPh sb="0" eb="2">
      <t>ホウリツ</t>
    </rPh>
    <phoneticPr fontId="5"/>
  </si>
  <si>
    <t>経済</t>
    <rPh sb="0" eb="2">
      <t>ケイザイ</t>
    </rPh>
    <phoneticPr fontId="5"/>
  </si>
  <si>
    <t>財政</t>
    <rPh sb="0" eb="2">
      <t>ザイセイ</t>
    </rPh>
    <phoneticPr fontId="5"/>
  </si>
  <si>
    <t>統計</t>
    <rPh sb="0" eb="2">
      <t>トウケイ</t>
    </rPh>
    <phoneticPr fontId="5"/>
  </si>
  <si>
    <t>社会</t>
    <rPh sb="0" eb="2">
      <t>シャカイ</t>
    </rPh>
    <phoneticPr fontId="5"/>
  </si>
  <si>
    <t>教育</t>
    <rPh sb="0" eb="2">
      <t>キョウイク</t>
    </rPh>
    <phoneticPr fontId="5"/>
  </si>
  <si>
    <t>風俗習慣・民俗学</t>
    <rPh sb="0" eb="2">
      <t>フウゾク</t>
    </rPh>
    <rPh sb="2" eb="4">
      <t>シュウカン</t>
    </rPh>
    <rPh sb="5" eb="8">
      <t>ミンゾクガク</t>
    </rPh>
    <phoneticPr fontId="5"/>
  </si>
  <si>
    <t>Ancient legends, mystic charms, and superstitions of Ireland : with sketches of the Irish past / Lady Wilde ; : Ganesha Pub. : set - 2.-- Ganesha Pub.-- (Irish history and culture ; . Irish folklore and mythology in the nineteenth century / edited and introduced by R.A. Gilbert ; v. 1-2).</t>
  </si>
  <si>
    <t>Ancient cures, charms, and usages of Ireland : contributions to Irish lore / Lady Wilde ; : Ganesha Pub. : set, : Synapse : set.-- Ganesha Pub.-- (Irish history and culture ; . Irish folklore and mythology in the nineteenth century / edited and introduced by R.A. Gilbert ; v. 3).</t>
  </si>
  <si>
    <t>Irish local legends / John O'Hanlon (Lageniensis) . Folk tales of Breffny / B. Hunt ; : Ganesha Pub. : set, : Synapse : set.-- Ganesha Pub.-- (Irish history and culture ; . Irish folklore and mythology in the nineteenth century / edited and introduced by R.A. Gilbert ; v. 4).</t>
  </si>
  <si>
    <t>Pulse of the bards : cuisle na h-◆U00E9◆igse ; Irish fireside songs / P.J. McCall ; : Ganesha Pub. : set, : Synapse : set.-- Ganesha Pub.-- (Irish history and culture ; . Irish folklore and mythology in the nineteenth century / edited and introduced by R.A. Gilbert ; v. 5).</t>
  </si>
  <si>
    <t>Dermot MacMorrogh, or, The conquest of Ireland : an historical tale of the twelfth century / John Quincy Adams . The book of Irish ballads / Denis Florence McCarthy ; : Ganesha Pub. : set, : Synapse : set.-- Ganesha Pub.-- (Irish history and culture ; . Irish folklore and mythology in the nineteenth century / edited and introduced by R.A. Gilbert ; v. 6).</t>
  </si>
  <si>
    <t>民族学・文化人類学</t>
    <rPh sb="0" eb="3">
      <t>ミンゾクガク</t>
    </rPh>
    <rPh sb="4" eb="6">
      <t>ブンカ</t>
    </rPh>
    <rPh sb="6" eb="9">
      <t>ジンルイガク</t>
    </rPh>
    <phoneticPr fontId="5"/>
  </si>
  <si>
    <t>国防・軍事</t>
    <rPh sb="0" eb="2">
      <t>コクボウ</t>
    </rPh>
    <rPh sb="3" eb="5">
      <t>グンジ</t>
    </rPh>
    <phoneticPr fontId="5"/>
  </si>
  <si>
    <t>自然科学</t>
    <rPh sb="0" eb="2">
      <t>シゼン</t>
    </rPh>
    <rPh sb="2" eb="4">
      <t>カガク</t>
    </rPh>
    <phoneticPr fontId="5"/>
  </si>
  <si>
    <t>数学</t>
    <rPh sb="0" eb="2">
      <t>スウガク</t>
    </rPh>
    <phoneticPr fontId="5"/>
  </si>
  <si>
    <t>物理学</t>
    <rPh sb="0" eb="3">
      <t>ブツリガク</t>
    </rPh>
    <phoneticPr fontId="5"/>
  </si>
  <si>
    <t>化学</t>
    <rPh sb="0" eb="2">
      <t>カガク</t>
    </rPh>
    <phoneticPr fontId="5"/>
  </si>
  <si>
    <t>天文学・宇宙科学</t>
    <rPh sb="0" eb="3">
      <t>テンモンガク</t>
    </rPh>
    <rPh sb="4" eb="6">
      <t>ウチュウ</t>
    </rPh>
    <rPh sb="6" eb="8">
      <t>カガク</t>
    </rPh>
    <phoneticPr fontId="5"/>
  </si>
  <si>
    <t>生物科学・一般生物学</t>
    <rPh sb="0" eb="2">
      <t>セイブツ</t>
    </rPh>
    <rPh sb="2" eb="4">
      <t>カガク</t>
    </rPh>
    <rPh sb="5" eb="7">
      <t>イッパン</t>
    </rPh>
    <rPh sb="7" eb="10">
      <t>セイブツガク</t>
    </rPh>
    <phoneticPr fontId="5"/>
  </si>
  <si>
    <t>植物学</t>
    <rPh sb="0" eb="3">
      <t>ショクブツガク</t>
    </rPh>
    <phoneticPr fontId="5"/>
  </si>
  <si>
    <t>動物学</t>
    <rPh sb="0" eb="3">
      <t>ドウブツガク</t>
    </rPh>
    <phoneticPr fontId="5"/>
  </si>
  <si>
    <t>医学</t>
    <rPh sb="0" eb="2">
      <t>イガク</t>
    </rPh>
    <phoneticPr fontId="5"/>
  </si>
  <si>
    <t>技術・工学</t>
    <rPh sb="0" eb="2">
      <t>ギジュツ</t>
    </rPh>
    <rPh sb="3" eb="5">
      <t>コウガク</t>
    </rPh>
    <phoneticPr fontId="5"/>
  </si>
  <si>
    <t>公害・環境工学</t>
    <rPh sb="0" eb="2">
      <t>コウガイ</t>
    </rPh>
    <rPh sb="3" eb="5">
      <t>カンキョウ</t>
    </rPh>
    <rPh sb="5" eb="7">
      <t>コウガク</t>
    </rPh>
    <phoneticPr fontId="5"/>
  </si>
  <si>
    <t>建築学</t>
    <rPh sb="0" eb="3">
      <t>ケンチクガク</t>
    </rPh>
    <phoneticPr fontId="5"/>
  </si>
  <si>
    <t>機械工学</t>
    <rPh sb="0" eb="2">
      <t>キカイ</t>
    </rPh>
    <rPh sb="2" eb="4">
      <t>コウガク</t>
    </rPh>
    <phoneticPr fontId="5"/>
  </si>
  <si>
    <t>原子力工学</t>
    <rPh sb="0" eb="3">
      <t>ゲンシリョク</t>
    </rPh>
    <rPh sb="3" eb="5">
      <t>コウガク</t>
    </rPh>
    <phoneticPr fontId="5"/>
  </si>
  <si>
    <t>電気工学</t>
    <rPh sb="0" eb="2">
      <t>デンキ</t>
    </rPh>
    <rPh sb="2" eb="4">
      <t>コウガク</t>
    </rPh>
    <phoneticPr fontId="5"/>
  </si>
  <si>
    <t>Directed sonar sensing for mobile robot navigation / John J. Leonard, Hugh F. Durrant-Whyte.-- Kluwer Academic Publishers; c1992.-- (The Kluwer international series in engineering and computer science ; SECS 175 . Robotics : vision, manipulation and sensors).</t>
  </si>
  <si>
    <t>兵器・軍事工学</t>
    <rPh sb="0" eb="2">
      <t>ヘイキ</t>
    </rPh>
    <rPh sb="3" eb="5">
      <t>グンジ</t>
    </rPh>
    <rPh sb="5" eb="7">
      <t>コウガク</t>
    </rPh>
    <phoneticPr fontId="5"/>
  </si>
  <si>
    <t>化学工業</t>
    <rPh sb="0" eb="2">
      <t>カガク</t>
    </rPh>
    <rPh sb="2" eb="4">
      <t>コウギョウ</t>
    </rPh>
    <phoneticPr fontId="5"/>
  </si>
  <si>
    <t>製造工業</t>
    <rPh sb="0" eb="2">
      <t>セイゾウ</t>
    </rPh>
    <rPh sb="2" eb="4">
      <t>コウギョウ</t>
    </rPh>
    <phoneticPr fontId="5"/>
  </si>
  <si>
    <t>家政学・生活科学</t>
    <rPh sb="0" eb="3">
      <t>カセイガク</t>
    </rPh>
    <rPh sb="4" eb="6">
      <t>セイカツ</t>
    </rPh>
    <rPh sb="6" eb="8">
      <t>カガク</t>
    </rPh>
    <phoneticPr fontId="5"/>
  </si>
  <si>
    <t>産業</t>
    <rPh sb="0" eb="2">
      <t>サンギョウ</t>
    </rPh>
    <phoneticPr fontId="5"/>
  </si>
  <si>
    <t>農業</t>
    <rPh sb="0" eb="2">
      <t>ノウギョウ</t>
    </rPh>
    <phoneticPr fontId="5"/>
  </si>
  <si>
    <t>林業</t>
    <rPh sb="0" eb="2">
      <t>リンギョウ</t>
    </rPh>
    <phoneticPr fontId="5"/>
  </si>
  <si>
    <t>商業</t>
    <rPh sb="0" eb="2">
      <t>ショウギョウ</t>
    </rPh>
    <phoneticPr fontId="5"/>
  </si>
  <si>
    <t>通信事業</t>
    <rPh sb="0" eb="2">
      <t>ツウシン</t>
    </rPh>
    <rPh sb="2" eb="4">
      <t>ジギョウ</t>
    </rPh>
    <phoneticPr fontId="5"/>
  </si>
  <si>
    <t>芸術・美術</t>
    <rPh sb="0" eb="2">
      <t>ゲイジュツ</t>
    </rPh>
    <rPh sb="3" eb="5">
      <t>ビジュツ</t>
    </rPh>
    <phoneticPr fontId="5"/>
  </si>
  <si>
    <t>絵画</t>
    <rPh sb="0" eb="2">
      <t>カイガ</t>
    </rPh>
    <phoneticPr fontId="5"/>
  </si>
  <si>
    <t>音楽</t>
    <rPh sb="0" eb="2">
      <t>オンガク</t>
    </rPh>
    <phoneticPr fontId="5"/>
  </si>
  <si>
    <t>演劇</t>
    <rPh sb="0" eb="2">
      <t>エンゲキ</t>
    </rPh>
    <phoneticPr fontId="5"/>
  </si>
  <si>
    <t>映画</t>
    <rPh sb="0" eb="2">
      <t>エイガ</t>
    </rPh>
    <phoneticPr fontId="5"/>
  </si>
  <si>
    <t>スポーツ・体育</t>
    <rPh sb="5" eb="7">
      <t>タイイク</t>
    </rPh>
    <phoneticPr fontId="5"/>
  </si>
  <si>
    <t>諸芸・娯楽</t>
    <rPh sb="0" eb="2">
      <t>ショゲイ</t>
    </rPh>
    <rPh sb="3" eb="5">
      <t>ゴラク</t>
    </rPh>
    <phoneticPr fontId="5"/>
  </si>
  <si>
    <t>言語</t>
    <rPh sb="0" eb="2">
      <t>ゲンゴ</t>
    </rPh>
    <phoneticPr fontId="5"/>
  </si>
  <si>
    <t>日本語</t>
    <rPh sb="0" eb="3">
      <t>ニホンゴ</t>
    </rPh>
    <phoneticPr fontId="5"/>
  </si>
  <si>
    <t>中国語</t>
    <rPh sb="0" eb="3">
      <t>チュウゴクゴ</t>
    </rPh>
    <phoneticPr fontId="5"/>
  </si>
  <si>
    <t>英語</t>
    <rPh sb="0" eb="2">
      <t>エイゴ</t>
    </rPh>
    <phoneticPr fontId="5"/>
  </si>
  <si>
    <t>その他の諸言語</t>
    <rPh sb="2" eb="3">
      <t>ホカ</t>
    </rPh>
    <rPh sb="4" eb="7">
      <t>ショゲンゴ</t>
    </rPh>
    <phoneticPr fontId="5"/>
  </si>
  <si>
    <t>文学</t>
    <rPh sb="0" eb="2">
      <t>ブンガク</t>
    </rPh>
    <phoneticPr fontId="5"/>
  </si>
  <si>
    <t>日本文学</t>
    <rPh sb="0" eb="2">
      <t>ニホン</t>
    </rPh>
    <rPh sb="2" eb="4">
      <t>ブンガク</t>
    </rPh>
    <phoneticPr fontId="5"/>
  </si>
  <si>
    <t>中国文学</t>
    <rPh sb="0" eb="2">
      <t>チュウゴク</t>
    </rPh>
    <rPh sb="2" eb="4">
      <t>ブンガク</t>
    </rPh>
    <phoneticPr fontId="5"/>
  </si>
  <si>
    <t>英米文学</t>
    <rPh sb="0" eb="2">
      <t>エイベイ</t>
    </rPh>
    <rPh sb="2" eb="4">
      <t>ブンガク</t>
    </rPh>
    <phoneticPr fontId="5"/>
  </si>
  <si>
    <t>Recollections and obituaries ; Early critical reviews ; Bloomsbury ; Writers on writing.-- Helm Information; c1994.-- (The Helm Information critical assessments of writers in English / general editor, Graham Clarke ; . Virginia Woolf : critical assessments / edited by Eleanor McNees ; v. 1).</t>
    <phoneticPr fontId="5"/>
  </si>
  <si>
    <t>Critical responses to the short stories, sketches and essays, feminist treatises and biographies.-- Helm Information; c1994.-- (The Helm Information critical assessments of writers in English / general editor, Graham Clarke ; . Virginia Woolf : critical assessments / edited by Eleanor McNees ; v. 2).</t>
  </si>
  <si>
    <t>Critical responses to the novels from The Voyage out to To the lighthouse.-- Helm Information; c1994.-- (The Helm Information critical assessments of writers in English / general editor, Graham Clarke ; . Virginia Woolf : critical assessments / edited by Eleanor McNees ; v. 3).</t>
  </si>
  <si>
    <t>Critical responses to the novels The waves, The years and Between the acts ; Essays ; Critical evaluations ; Comparative studies.-- Helm Information; c1994.-- (The Helm Information critical assessments of writers in English / general editor, Graham Clarke ; . Virginia Woolf : critical assessments / edited by Eleanor McNees ; v. 4).</t>
  </si>
  <si>
    <t>ドイツ文学</t>
    <rPh sb="3" eb="5">
      <t>ブンガク</t>
    </rPh>
    <phoneticPr fontId="5"/>
  </si>
  <si>
    <t>その他のチュートン文学</t>
    <rPh sb="2" eb="3">
      <t>ホカ</t>
    </rPh>
    <rPh sb="9" eb="11">
      <t>ブンガク</t>
    </rPh>
    <phoneticPr fontId="5"/>
  </si>
  <si>
    <t>フランス文学</t>
    <rPh sb="4" eb="6">
      <t>ブンガク</t>
    </rPh>
    <phoneticPr fontId="5"/>
  </si>
  <si>
    <t>スペイン文学</t>
    <rPh sb="4" eb="6">
      <t>ブンガク</t>
    </rPh>
    <phoneticPr fontId="5"/>
  </si>
  <si>
    <t>ロシア文学</t>
    <rPh sb="3" eb="5">
      <t>ブンガク</t>
    </rPh>
    <phoneticPr fontId="5"/>
  </si>
  <si>
    <t>その他のスラヴ文学</t>
    <rPh sb="2" eb="3">
      <t>ホカ</t>
    </rPh>
    <rPh sb="7" eb="9">
      <t>ブンガク</t>
    </rPh>
    <phoneticPr fontId="5"/>
  </si>
  <si>
    <t>その他の諸文学</t>
    <rPh sb="2" eb="3">
      <t>ホカ</t>
    </rPh>
    <rPh sb="4" eb="5">
      <t>ショ</t>
    </rPh>
    <rPh sb="5" eb="7">
      <t>ブンガク</t>
    </rPh>
    <phoneticPr fontId="5"/>
  </si>
  <si>
    <t>和洋
区分</t>
    <rPh sb="0" eb="1">
      <t>ワ</t>
    </rPh>
    <rPh sb="1" eb="2">
      <t>ヨウ</t>
    </rPh>
    <rPh sb="3" eb="5">
      <t>クブン</t>
    </rPh>
    <phoneticPr fontId="9"/>
  </si>
  <si>
    <t>計　1624点</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</si>
</sst>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font>
    <font>
      <sz val="6"/>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6"/>
      <name val="ＭＳ Ｐゴシック"/>
      <family val="3"/>
      <charset val="128"/>
    </font>
    <font>
      <b/>
      <sz val="10"/>
      <name val="ＭＳ Ｐゴシック"/>
      <family val="3"/>
      <charset val="128"/>
    </font>
    <font>
      <b/>
      <sz val="10"/>
      <name val="ＭＳ Ｐゴシック"/>
      <family val="3"/>
      <charset val="128"/>
      <scheme val="minor"/>
    </font>
    <font>
      <b/>
      <sz val="9"/>
      <name val="ＭＳ Ｐゴシック"/>
      <family val="3"/>
      <charset val="128"/>
      <scheme val="minor"/>
    </font>
    <font>
      <b/>
      <u/>
      <sz val="20"/>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cellStyleXfs>
  <cellXfs count="45">
    <xf numFmtId="0" fontId="0" fillId="0" borderId="0" xfId="0">
      <alignment vertical="center"/>
    </xf>
    <xf numFmtId="0" fontId="0" fillId="0" borderId="0" xfId="0" applyAlignment="1">
      <alignment vertical="center" wrapText="1"/>
    </xf>
    <xf numFmtId="0" fontId="0" fillId="0" borderId="0" xfId="0" applyFill="1">
      <alignment vertical="center"/>
    </xf>
    <xf numFmtId="0" fontId="4" fillId="0" borderId="1" xfId="0" applyFont="1" applyFill="1" applyBorder="1" applyAlignment="1" applyProtection="1">
      <alignment vertical="center" wrapText="1"/>
    </xf>
    <xf numFmtId="0" fontId="6" fillId="0" borderId="1" xfId="0" applyFont="1" applyBorder="1">
      <alignment vertical="center"/>
    </xf>
    <xf numFmtId="0" fontId="6" fillId="0" borderId="1" xfId="0" applyFont="1" applyBorder="1" applyAlignment="1">
      <alignment vertical="center" wrapText="1"/>
    </xf>
    <xf numFmtId="3" fontId="6" fillId="0" borderId="1" xfId="0" applyNumberFormat="1" applyFont="1" applyBorder="1">
      <alignment vertical="center"/>
    </xf>
    <xf numFmtId="0" fontId="4" fillId="0" borderId="2" xfId="0" applyFont="1" applyBorder="1" applyAlignment="1" applyProtection="1">
      <alignment vertical="center" wrapText="1" shrinkToFit="1"/>
    </xf>
    <xf numFmtId="3" fontId="8" fillId="0" borderId="1" xfId="0" applyNumberFormat="1" applyFont="1" applyBorder="1">
      <alignment vertical="center"/>
    </xf>
    <xf numFmtId="0" fontId="4"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vertical="center" wrapText="1"/>
    </xf>
    <xf numFmtId="3" fontId="6" fillId="0" borderId="1" xfId="0" applyNumberFormat="1" applyFont="1" applyFill="1" applyBorder="1">
      <alignment vertical="center"/>
    </xf>
    <xf numFmtId="0" fontId="4" fillId="0" borderId="2" xfId="0" applyFont="1" applyFill="1" applyBorder="1" applyAlignment="1" applyProtection="1">
      <alignment vertical="center" wrapText="1" shrinkToFit="1"/>
    </xf>
    <xf numFmtId="3" fontId="8" fillId="0" borderId="1" xfId="0" applyNumberFormat="1" applyFont="1" applyFill="1" applyBorder="1">
      <alignment vertical="center"/>
    </xf>
    <xf numFmtId="0" fontId="11" fillId="2" borderId="4" xfId="1" applyFont="1" applyFill="1" applyBorder="1" applyAlignment="1">
      <alignment horizontal="center" vertical="center" wrapText="1"/>
    </xf>
    <xf numFmtId="0" fontId="11" fillId="2" borderId="3" xfId="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0" fontId="10" fillId="2" borderId="3" xfId="0" applyFont="1" applyFill="1" applyBorder="1" applyAlignment="1" applyProtection="1">
      <alignment horizontal="center" vertical="center" wrapText="1"/>
    </xf>
    <xf numFmtId="0" fontId="12" fillId="2" borderId="5" xfId="1" applyFont="1" applyFill="1" applyBorder="1" applyAlignment="1">
      <alignment horizontal="center" vertical="center"/>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3" fillId="0" borderId="0" xfId="0" applyFont="1" applyAlignment="1">
      <alignment horizontal="right" vertical="center"/>
    </xf>
    <xf numFmtId="0" fontId="13" fillId="0" borderId="0" xfId="0" applyFont="1">
      <alignment vertical="center"/>
    </xf>
    <xf numFmtId="0" fontId="7" fillId="0" borderId="9" xfId="0" applyFont="1" applyBorder="1">
      <alignment vertical="center"/>
    </xf>
    <xf numFmtId="0" fontId="6" fillId="0" borderId="10" xfId="0" applyFont="1" applyBorder="1">
      <alignment vertical="center"/>
    </xf>
    <xf numFmtId="0" fontId="7" fillId="0" borderId="11" xfId="0" applyFont="1" applyBorder="1">
      <alignment vertical="center"/>
    </xf>
    <xf numFmtId="0" fontId="6" fillId="0" borderId="12" xfId="0" applyFont="1" applyBorder="1">
      <alignment vertical="center"/>
    </xf>
    <xf numFmtId="0" fontId="7" fillId="0" borderId="11" xfId="0" applyFont="1" applyFill="1" applyBorder="1">
      <alignment vertical="center"/>
    </xf>
    <xf numFmtId="0" fontId="6" fillId="0" borderId="12" xfId="0" applyFont="1" applyFill="1" applyBorder="1">
      <alignment vertical="center"/>
    </xf>
    <xf numFmtId="0" fontId="6" fillId="0" borderId="13" xfId="0" applyNumberFormat="1" applyFont="1" applyBorder="1" applyAlignment="1" applyProtection="1">
      <alignment horizontal="center" vertical="center" shrinkToFit="1"/>
    </xf>
    <xf numFmtId="0" fontId="4" fillId="0" borderId="8" xfId="0" applyFont="1" applyFill="1" applyBorder="1" applyAlignment="1" applyProtection="1">
      <alignment vertical="center" wrapText="1"/>
    </xf>
    <xf numFmtId="0" fontId="6" fillId="0" borderId="8" xfId="0" applyFont="1" applyBorder="1">
      <alignment vertical="center"/>
    </xf>
    <xf numFmtId="0" fontId="6" fillId="0" borderId="8" xfId="0" applyFont="1" applyBorder="1" applyAlignment="1">
      <alignment vertical="center" wrapText="1"/>
    </xf>
    <xf numFmtId="3" fontId="6" fillId="0" borderId="8" xfId="0" applyNumberFormat="1" applyFont="1" applyBorder="1">
      <alignment vertical="center"/>
    </xf>
    <xf numFmtId="0" fontId="4" fillId="0" borderId="14" xfId="0" applyFont="1" applyBorder="1" applyAlignment="1" applyProtection="1">
      <alignment vertical="center" wrapText="1" shrinkToFit="1"/>
    </xf>
    <xf numFmtId="0" fontId="6" fillId="0" borderId="15" xfId="0" applyNumberFormat="1" applyFont="1" applyBorder="1" applyAlignment="1" applyProtection="1">
      <alignment horizontal="center" vertical="center" shrinkToFit="1"/>
    </xf>
    <xf numFmtId="0" fontId="6" fillId="0" borderId="16" xfId="0" applyNumberFormat="1" applyFont="1" applyBorder="1" applyAlignment="1" applyProtection="1">
      <alignment horizontal="center" vertical="center" shrinkToFit="1"/>
    </xf>
    <xf numFmtId="0" fontId="4" fillId="0" borderId="17" xfId="0" applyFont="1" applyFill="1" applyBorder="1" applyAlignment="1" applyProtection="1">
      <alignment vertical="center" wrapText="1"/>
    </xf>
    <xf numFmtId="0" fontId="6" fillId="0" borderId="17" xfId="0" applyFont="1" applyBorder="1">
      <alignment vertical="center"/>
    </xf>
    <xf numFmtId="0" fontId="6" fillId="0" borderId="17" xfId="0" applyFont="1" applyBorder="1" applyAlignment="1">
      <alignment vertical="center" wrapText="1"/>
    </xf>
    <xf numFmtId="3" fontId="6" fillId="0" borderId="17" xfId="0" applyNumberFormat="1" applyFont="1" applyBorder="1">
      <alignment vertical="center"/>
    </xf>
    <xf numFmtId="0" fontId="4" fillId="0" borderId="18" xfId="0" applyFont="1" applyBorder="1" applyAlignment="1" applyProtection="1">
      <alignment vertical="center" wrapText="1" shrinkToFit="1"/>
    </xf>
    <xf numFmtId="0" fontId="6" fillId="0" borderId="19" xfId="0" applyFont="1" applyBorder="1">
      <alignment vertical="center"/>
    </xf>
    <xf numFmtId="0" fontId="7" fillId="0" borderId="20" xfId="0" applyFont="1" applyBorder="1">
      <alignment vertical="center"/>
    </xf>
  </cellXfs>
  <cellStyles count="4">
    <cellStyle name="桁区切り 2" xfId="3" xr:uid="{00000000-0005-0000-0000-000000000000}"/>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28"/>
  <sheetViews>
    <sheetView tabSelected="1" workbookViewId="0">
      <pane ySplit="1" topLeftCell="A2" activePane="bottomLeft" state="frozen"/>
      <selection pane="bottomLeft" activeCell="D1405" sqref="D1405"/>
    </sheetView>
  </sheetViews>
  <sheetFormatPr defaultRowHeight="13.5" x14ac:dyDescent="0.15"/>
  <cols>
    <col min="1" max="1" width="5.75" customWidth="1"/>
    <col min="2" max="2" width="8.875" bestFit="1" customWidth="1"/>
    <col min="3" max="3" width="10.875" bestFit="1" customWidth="1"/>
    <col min="4" max="4" width="51.5" style="1" customWidth="1"/>
    <col min="5" max="5" width="8.5" customWidth="1"/>
    <col min="6" max="6" width="2.5" customWidth="1"/>
    <col min="7" max="7" width="8.25" customWidth="1"/>
    <col min="8" max="8" width="9" bestFit="1" customWidth="1"/>
    <col min="9" max="9" width="6.25" bestFit="1" customWidth="1"/>
    <col min="10" max="10" width="5.375" bestFit="1" customWidth="1"/>
    <col min="11" max="11" width="7.75" customWidth="1"/>
    <col min="12" max="12" width="10.5" customWidth="1"/>
  </cols>
  <sheetData>
    <row r="1" spans="1:12" ht="24.75" customHeight="1" thickBot="1" x14ac:dyDescent="0.2">
      <c r="A1" s="15" t="s">
        <v>14</v>
      </c>
      <c r="B1" s="16" t="s">
        <v>0</v>
      </c>
      <c r="C1" s="16" t="s">
        <v>1</v>
      </c>
      <c r="D1" s="16" t="s">
        <v>2</v>
      </c>
      <c r="E1" s="16" t="s">
        <v>3</v>
      </c>
      <c r="F1" s="20"/>
      <c r="G1" s="21" t="s">
        <v>4</v>
      </c>
      <c r="H1" s="16" t="str">
        <f>"受入日"</f>
        <v>受入日</v>
      </c>
      <c r="I1" s="17" t="s">
        <v>5</v>
      </c>
      <c r="J1" s="16" t="s">
        <v>6</v>
      </c>
      <c r="K1" s="18" t="s">
        <v>106</v>
      </c>
      <c r="L1" s="19" t="s">
        <v>7</v>
      </c>
    </row>
    <row r="2" spans="1:12" ht="24" x14ac:dyDescent="0.15">
      <c r="A2" s="30">
        <v>1</v>
      </c>
      <c r="B2" s="31" t="s">
        <v>15</v>
      </c>
      <c r="C2" s="32" t="str">
        <f>"0000479233"</f>
        <v>0000479233</v>
      </c>
      <c r="D2" s="33" t="str">
        <f>"知の技法 : 東京大学教養学部「基礎演習」テキスト / 小林康夫, 船曳建夫編.-- 東京大学出版会; 1994.4."</f>
        <v>知の技法 : 東京大学教養学部「基礎演習」テキスト / 小林康夫, 船曳建夫編.-- 東京大学出版会; 1994.4.</v>
      </c>
      <c r="E2" s="33" t="str">
        <f>""</f>
        <v/>
      </c>
      <c r="F2" s="24"/>
      <c r="G2" s="25" t="str">
        <f>"002/ｺﾊﾞ"</f>
        <v>002/ｺﾊﾞ</v>
      </c>
      <c r="H2" s="32" t="str">
        <f>"1994/08/29"</f>
        <v>1994/08/29</v>
      </c>
      <c r="I2" s="34">
        <v>1390</v>
      </c>
      <c r="J2" s="34">
        <v>100</v>
      </c>
      <c r="K2" s="32" t="str">
        <f t="shared" ref="K2:K12" si="0">"1  和書"</f>
        <v>1  和書</v>
      </c>
      <c r="L2" s="35"/>
    </row>
    <row r="3" spans="1:12" ht="24" x14ac:dyDescent="0.15">
      <c r="A3" s="36">
        <v>2</v>
      </c>
      <c r="B3" s="3" t="s">
        <v>15</v>
      </c>
      <c r="C3" s="4" t="str">
        <f>"0000533836"</f>
        <v>0000533836</v>
      </c>
      <c r="D3" s="5" t="str">
        <f>"知の技法 : 東京大学教養学部「基礎演習」テキスト / 小林康夫, 船曳建夫編.-- 東京大学出版会; 1994.4."</f>
        <v>知の技法 : 東京大学教養学部「基礎演習」テキスト / 小林康夫, 船曳建夫編.-- 東京大学出版会; 1994.4.</v>
      </c>
      <c r="E3" s="5" t="str">
        <f>""</f>
        <v/>
      </c>
      <c r="F3" s="26"/>
      <c r="G3" s="27" t="str">
        <f>"002/ｺﾊﾞ"</f>
        <v>002/ｺﾊﾞ</v>
      </c>
      <c r="H3" s="4" t="str">
        <f>"1995/02/21"</f>
        <v>1995/02/21</v>
      </c>
      <c r="I3" s="6">
        <v>1390</v>
      </c>
      <c r="J3" s="6">
        <v>100</v>
      </c>
      <c r="K3" s="4" t="str">
        <f t="shared" si="0"/>
        <v>1  和書</v>
      </c>
      <c r="L3" s="7"/>
    </row>
    <row r="4" spans="1:12" ht="22.5" x14ac:dyDescent="0.15">
      <c r="A4" s="36">
        <v>3</v>
      </c>
      <c r="B4" s="3" t="s">
        <v>15</v>
      </c>
      <c r="C4" s="4" t="str">
        <f>"0000559973"</f>
        <v>0000559973</v>
      </c>
      <c r="D4" s="5" t="str">
        <f>"知の論理 / 小林康夫, 船曳建夫編.-- 東京大学出版会; 1995.4."</f>
        <v>知の論理 / 小林康夫, 船曳建夫編.-- 東京大学出版会; 1995.4.</v>
      </c>
      <c r="E4" s="5" t="str">
        <f>""</f>
        <v/>
      </c>
      <c r="F4" s="26"/>
      <c r="G4" s="27" t="str">
        <f>"002/ｺﾊﾞ"</f>
        <v>002/ｺﾊﾞ</v>
      </c>
      <c r="H4" s="4" t="str">
        <f>"1995/04/30"</f>
        <v>1995/04/30</v>
      </c>
      <c r="I4" s="6">
        <v>1390</v>
      </c>
      <c r="J4" s="6">
        <v>100</v>
      </c>
      <c r="K4" s="4" t="str">
        <f t="shared" si="0"/>
        <v>1  和書</v>
      </c>
      <c r="L4" s="7"/>
    </row>
    <row r="5" spans="1:12" ht="22.5" x14ac:dyDescent="0.15">
      <c r="A5" s="36">
        <v>4</v>
      </c>
      <c r="B5" s="3" t="s">
        <v>15</v>
      </c>
      <c r="C5" s="4" t="str">
        <f>"0001351019"</f>
        <v>0001351019</v>
      </c>
      <c r="D5" s="5" t="str">
        <f>"知のモラル / 小林康夫, 船曳建夫編.-- 東京大学出版会; 1996.4."</f>
        <v>知のモラル / 小林康夫, 船曳建夫編.-- 東京大学出版会; 1996.4.</v>
      </c>
      <c r="E5" s="5" t="str">
        <f>""</f>
        <v/>
      </c>
      <c r="F5" s="26"/>
      <c r="G5" s="27" t="str">
        <f>"002/ｺﾊﾞ"</f>
        <v>002/ｺﾊﾞ</v>
      </c>
      <c r="H5" s="4" t="str">
        <f>"1997/03/02"</f>
        <v>1997/03/02</v>
      </c>
      <c r="I5" s="6">
        <v>1390</v>
      </c>
      <c r="J5" s="6">
        <v>100</v>
      </c>
      <c r="K5" s="4" t="str">
        <f t="shared" si="0"/>
        <v>1  和書</v>
      </c>
      <c r="L5" s="7"/>
    </row>
    <row r="6" spans="1:12" ht="22.5" x14ac:dyDescent="0.15">
      <c r="A6" s="36">
        <v>5</v>
      </c>
      <c r="B6" s="3" t="s">
        <v>15</v>
      </c>
      <c r="C6" s="4" t="str">
        <f>"0002104102"</f>
        <v>0002104102</v>
      </c>
      <c r="D6" s="5" t="str">
        <f>"新・知の技法 / 小林康夫, 船曳建夫編.-- 東京大学出版会; 1998.4."</f>
        <v>新・知の技法 / 小林康夫, 船曳建夫編.-- 東京大学出版会; 1998.4.</v>
      </c>
      <c r="E6" s="5" t="str">
        <f>""</f>
        <v/>
      </c>
      <c r="F6" s="26"/>
      <c r="G6" s="27" t="str">
        <f>"002/ｺﾊﾞ"</f>
        <v>002/ｺﾊﾞ</v>
      </c>
      <c r="H6" s="4" t="str">
        <f>"1999/04/20"</f>
        <v>1999/04/20</v>
      </c>
      <c r="I6" s="6">
        <v>1512</v>
      </c>
      <c r="J6" s="6">
        <v>100</v>
      </c>
      <c r="K6" s="4" t="str">
        <f t="shared" si="0"/>
        <v>1  和書</v>
      </c>
      <c r="L6" s="7"/>
    </row>
    <row r="7" spans="1:12" ht="24" x14ac:dyDescent="0.15">
      <c r="A7" s="36">
        <v>6</v>
      </c>
      <c r="B7" s="3" t="s">
        <v>15</v>
      </c>
      <c r="C7" s="4" t="str">
        <f>"0001536423"</f>
        <v>0001536423</v>
      </c>
      <c r="D7" s="5" t="str">
        <f>"日本の研究者養成 / 塚原修一, 小林信一著.-- 玉川大学出版部; 1996.12."</f>
        <v>日本の研究者養成 / 塚原修一, 小林信一著.-- 玉川大学出版部; 1996.12.</v>
      </c>
      <c r="E7" s="5" t="str">
        <f>""</f>
        <v/>
      </c>
      <c r="F7" s="26"/>
      <c r="G7" s="27" t="str">
        <f>"002/ﾂｶ"</f>
        <v>002/ﾂｶ</v>
      </c>
      <c r="H7" s="4" t="str">
        <f>"1997/07/30"</f>
        <v>1997/07/30</v>
      </c>
      <c r="I7" s="6">
        <v>5869</v>
      </c>
      <c r="J7" s="6">
        <v>100</v>
      </c>
      <c r="K7" s="4" t="str">
        <f t="shared" si="0"/>
        <v>1  和書</v>
      </c>
      <c r="L7" s="7"/>
    </row>
    <row r="8" spans="1:12" ht="24" x14ac:dyDescent="0.15">
      <c r="A8" s="36">
        <v>7</v>
      </c>
      <c r="B8" s="3" t="s">
        <v>15</v>
      </c>
      <c r="C8" s="4" t="str">
        <f>"0000868822"</f>
        <v>0000868822</v>
      </c>
      <c r="D8" s="5" t="str">
        <f>"日本型「教養」の運命 : 歴史社会学的考察 / 筒井清忠著.-- 岩波書店; 1995.5."</f>
        <v>日本型「教養」の運命 : 歴史社会学的考察 / 筒井清忠著.-- 岩波書店; 1995.5.</v>
      </c>
      <c r="E8" s="5" t="str">
        <f>""</f>
        <v/>
      </c>
      <c r="F8" s="26"/>
      <c r="G8" s="27" t="str">
        <f>"002/ﾂﾂ"</f>
        <v>002/ﾂﾂ</v>
      </c>
      <c r="H8" s="4" t="str">
        <f>"1995/08/29"</f>
        <v>1995/08/29</v>
      </c>
      <c r="I8" s="6">
        <v>1620</v>
      </c>
      <c r="J8" s="6">
        <v>100</v>
      </c>
      <c r="K8" s="4" t="str">
        <f t="shared" si="0"/>
        <v>1  和書</v>
      </c>
      <c r="L8" s="7"/>
    </row>
    <row r="9" spans="1:12" ht="24" x14ac:dyDescent="0.15">
      <c r="A9" s="36">
        <v>8</v>
      </c>
      <c r="B9" s="3" t="s">
        <v>15</v>
      </c>
      <c r="C9" s="4" t="str">
        <f>"0003146729"</f>
        <v>0003146729</v>
      </c>
      <c r="D9" s="5" t="str">
        <f>"人文科学ハンドブック : スキルと作法 / 中村捷 [ほか] 編.-- 東北大学出版会; 2005.3."</f>
        <v>人文科学ハンドブック : スキルと作法 / 中村捷 [ほか] 編.-- 東北大学出版会; 2005.3.</v>
      </c>
      <c r="E9" s="5" t="str">
        <f>""</f>
        <v/>
      </c>
      <c r="F9" s="26"/>
      <c r="G9" s="27" t="str">
        <f>"002/ﾅｶ"</f>
        <v>002/ﾅｶ</v>
      </c>
      <c r="H9" s="4" t="str">
        <f>"2013/02/14"</f>
        <v>2013/02/14</v>
      </c>
      <c r="I9" s="6">
        <v>1512</v>
      </c>
      <c r="J9" s="6">
        <v>100</v>
      </c>
      <c r="K9" s="4" t="str">
        <f t="shared" si="0"/>
        <v>1  和書</v>
      </c>
      <c r="L9" s="7"/>
    </row>
    <row r="10" spans="1:12" ht="24" x14ac:dyDescent="0.15">
      <c r="A10" s="36">
        <v>9</v>
      </c>
      <c r="B10" s="3" t="s">
        <v>16</v>
      </c>
      <c r="C10" s="10" t="str">
        <f>"0000607957"</f>
        <v>0000607957</v>
      </c>
      <c r="D10" s="11" t="str">
        <f>"知識の表現と利用 / 上野晴樹, 石塚満共編.-- オーム社; 1987.2.-- (知識工学講座 ; 2)."</f>
        <v>知識の表現と利用 / 上野晴樹, 石塚満共編.-- オーム社; 1987.2.-- (知識工学講座 ; 2).</v>
      </c>
      <c r="E10" s="11" t="str">
        <f>""</f>
        <v/>
      </c>
      <c r="F10" s="28" t="s">
        <v>8</v>
      </c>
      <c r="G10" s="29" t="str">
        <f>"007/ｳｴ"</f>
        <v>007/ｳｴ</v>
      </c>
      <c r="H10" s="10" t="str">
        <f>"1995/03/31"</f>
        <v>1995/03/31</v>
      </c>
      <c r="I10" s="12">
        <v>2316</v>
      </c>
      <c r="J10" s="12">
        <v>100</v>
      </c>
      <c r="K10" s="10" t="str">
        <f t="shared" si="0"/>
        <v>1  和書</v>
      </c>
      <c r="L10" s="13"/>
    </row>
    <row r="11" spans="1:12" x14ac:dyDescent="0.15">
      <c r="A11" s="36">
        <v>10</v>
      </c>
      <c r="B11" s="3" t="s">
        <v>16</v>
      </c>
      <c r="C11" s="10" t="str">
        <f>"0000456296"</f>
        <v>0000456296</v>
      </c>
      <c r="D11" s="11" t="str">
        <f>"ACMチューリング賞講演集 / 赤攝也 [ほか] 訳.-- 共立出版; 1989.7."</f>
        <v>ACMチューリング賞講演集 / 赤攝也 [ほか] 訳.-- 共立出版; 1989.7.</v>
      </c>
      <c r="E11" s="11" t="str">
        <f>""</f>
        <v/>
      </c>
      <c r="F11" s="28" t="s">
        <v>8</v>
      </c>
      <c r="G11" s="29" t="str">
        <f>"007/ｴｼ"</f>
        <v>007/ｴｼ</v>
      </c>
      <c r="H11" s="10" t="str">
        <f>"1994/03/31"</f>
        <v>1994/03/31</v>
      </c>
      <c r="I11" s="12">
        <v>8157</v>
      </c>
      <c r="J11" s="12">
        <v>100</v>
      </c>
      <c r="K11" s="10" t="str">
        <f t="shared" si="0"/>
        <v>1  和書</v>
      </c>
      <c r="L11" s="13"/>
    </row>
    <row r="12" spans="1:12" ht="24" x14ac:dyDescent="0.15">
      <c r="A12" s="36">
        <v>11</v>
      </c>
      <c r="B12" s="3" t="s">
        <v>16</v>
      </c>
      <c r="C12" s="4" t="str">
        <f>"0002261423"</f>
        <v>0002261423</v>
      </c>
      <c r="D12" s="5" t="str">
        <f>"情報科学 / 中易秀敏, 坪野博宣著 ; 基礎編, 活用編, ヒューマン編.-- 共立出版; 1997.11-2002.11."</f>
        <v>情報科学 / 中易秀敏, 坪野博宣著 ; 基礎編, 活用編, ヒューマン編.-- 共立出版; 1997.11-2002.11.</v>
      </c>
      <c r="E12" s="5" t="str">
        <f>"活用編"</f>
        <v>活用編</v>
      </c>
      <c r="F12" s="26"/>
      <c r="G12" s="27" t="str">
        <f>"007/ﾅｶ/2"</f>
        <v>007/ﾅｶ/2</v>
      </c>
      <c r="H12" s="4" t="str">
        <f>"2000/11/27"</f>
        <v>2000/11/27</v>
      </c>
      <c r="I12" s="6">
        <v>2740</v>
      </c>
      <c r="J12" s="6">
        <v>100</v>
      </c>
      <c r="K12" s="4" t="str">
        <f t="shared" si="0"/>
        <v>1  和書</v>
      </c>
      <c r="L12" s="7"/>
    </row>
    <row r="13" spans="1:12" x14ac:dyDescent="0.15">
      <c r="A13" s="36">
        <v>12</v>
      </c>
      <c r="B13" s="3" t="s">
        <v>16</v>
      </c>
      <c r="C13" s="4" t="str">
        <f>"0000889728"</f>
        <v>0000889728</v>
      </c>
      <c r="D13" s="5" t="str">
        <f>"数理情報科学事典 / 大矢雅則 [ほか] 編集.-- 朝倉書店; 1995.11."</f>
        <v>数理情報科学事典 / 大矢雅則 [ほか] 編集.-- 朝倉書店; 1995.11.</v>
      </c>
      <c r="E13" s="5" t="str">
        <f>""</f>
        <v/>
      </c>
      <c r="F13" s="26"/>
      <c r="G13" s="27" t="str">
        <f>"R007.03/ｵｵ"</f>
        <v>R007.03/ｵｵ</v>
      </c>
      <c r="H13" s="4" t="str">
        <f>"1995/12/29"</f>
        <v>1995/12/29</v>
      </c>
      <c r="I13" s="6">
        <v>26883</v>
      </c>
      <c r="J13" s="8">
        <v>1000</v>
      </c>
      <c r="K13" s="4" t="str">
        <f>"1  和書"</f>
        <v>1  和書</v>
      </c>
      <c r="L13" s="7"/>
    </row>
    <row r="14" spans="1:12" x14ac:dyDescent="0.15">
      <c r="A14" s="36">
        <v>13</v>
      </c>
      <c r="B14" s="3" t="s">
        <v>16</v>
      </c>
      <c r="C14" s="4" t="str">
        <f>"0001293623"</f>
        <v>0001293623</v>
      </c>
      <c r="D14" s="5" t="str">
        <f>"岩波情報科学辞典 / 長尾真 [ほか] 編.-- 岩波書店; 1990.5."</f>
        <v>岩波情報科学辞典 / 長尾真 [ほか] 編.-- 岩波書店; 1990.5.</v>
      </c>
      <c r="E14" s="5" t="str">
        <f>""</f>
        <v/>
      </c>
      <c r="F14" s="26"/>
      <c r="G14" s="27" t="str">
        <f>"R007.03/ﾅｶﾞ"</f>
        <v>R007.03/ﾅｶﾞ</v>
      </c>
      <c r="H14" s="4" t="str">
        <f>"1997/06/17"</f>
        <v>1997/06/17</v>
      </c>
      <c r="I14" s="6">
        <v>6421</v>
      </c>
      <c r="J14" s="6">
        <v>100</v>
      </c>
      <c r="K14" s="4" t="str">
        <f>"1  和書"</f>
        <v>1  和書</v>
      </c>
      <c r="L14" s="7"/>
    </row>
    <row r="15" spans="1:12" ht="24" x14ac:dyDescent="0.15">
      <c r="A15" s="36">
        <v>14</v>
      </c>
      <c r="B15" s="3" t="s">
        <v>16</v>
      </c>
      <c r="C15" s="10" t="str">
        <f>"0001406320"</f>
        <v>0001406320</v>
      </c>
      <c r="D15" s="11" t="str">
        <f>"電子情報通信英和・和英辞典 / 平山博, 氏家理央編著.-- 新版.-- 共立出版; 1996.3."</f>
        <v>電子情報通信英和・和英辞典 / 平山博, 氏家理央編著.-- 新版.-- 共立出版; 1996.3.</v>
      </c>
      <c r="E15" s="11" t="str">
        <f>""</f>
        <v/>
      </c>
      <c r="F15" s="28" t="s">
        <v>8</v>
      </c>
      <c r="G15" s="29" t="str">
        <f>"007.03/ﾋﾗ"</f>
        <v>007.03/ﾋﾗ</v>
      </c>
      <c r="H15" s="10" t="str">
        <f>"1997/03/31"</f>
        <v>1997/03/31</v>
      </c>
      <c r="I15" s="12">
        <v>6301</v>
      </c>
      <c r="J15" s="12">
        <v>100</v>
      </c>
      <c r="K15" s="10" t="str">
        <f>"1  和書"</f>
        <v>1  和書</v>
      </c>
      <c r="L15" s="13"/>
    </row>
    <row r="16" spans="1:12" ht="108" x14ac:dyDescent="0.15">
      <c r="A16" s="36">
        <v>15</v>
      </c>
      <c r="B16" s="3" t="s">
        <v>16</v>
      </c>
      <c r="C16" s="10" t="str">
        <f>"0001270648"</f>
        <v>0001270648</v>
      </c>
      <c r="D16" s="11" t="s">
        <v>17</v>
      </c>
      <c r="E16" s="11" t="str">
        <f>": hardcover"</f>
        <v>: hardcover</v>
      </c>
      <c r="F16" s="28" t="s">
        <v>8</v>
      </c>
      <c r="G16" s="29" t="str">
        <f>"007.03/FE"</f>
        <v>007.03/FE</v>
      </c>
      <c r="H16" s="10" t="str">
        <f>"1996/06/24"</f>
        <v>1996/06/24</v>
      </c>
      <c r="I16" s="12">
        <v>19448</v>
      </c>
      <c r="J16" s="14">
        <v>500</v>
      </c>
      <c r="K16" s="10" t="str">
        <f>"2  洋書"</f>
        <v>2  洋書</v>
      </c>
      <c r="L16" s="13"/>
    </row>
    <row r="17" spans="1:12" ht="48" x14ac:dyDescent="0.15">
      <c r="A17" s="36">
        <v>16</v>
      </c>
      <c r="B17" s="3" t="s">
        <v>16</v>
      </c>
      <c r="C17" s="10" t="str">
        <f>"0001285116"</f>
        <v>0001285116</v>
      </c>
      <c r="D17" s="11" t="str">
        <f>"Parallel virtual machine-EuroPVM '96 : third European PVM conference, Munich, Germany, October 7-9, 1996 : proceedings / Arndt Bode ... [et al.], (eds.).-- Springer; c1996.-- (Lecture notes in computer science ; 1156)."</f>
        <v>Parallel virtual machine-EuroPVM '96 : third European PVM conference, Munich, Germany, October 7-9, 1996 : proceedings / Arndt Bode ... [et al.], (eds.).-- Springer; c1996.-- (Lecture notes in computer science ; 1156).</v>
      </c>
      <c r="E17" s="11" t="str">
        <f>""</f>
        <v/>
      </c>
      <c r="F17" s="28" t="s">
        <v>8</v>
      </c>
      <c r="G17" s="29" t="str">
        <f>"007.08/LE/1156"</f>
        <v>007.08/LE/1156</v>
      </c>
      <c r="H17" s="10" t="str">
        <f>"1997/02/21"</f>
        <v>1997/02/21</v>
      </c>
      <c r="I17" s="12">
        <v>7953</v>
      </c>
      <c r="J17" s="12">
        <v>100</v>
      </c>
      <c r="K17" s="10" t="str">
        <f>"2  洋書"</f>
        <v>2  洋書</v>
      </c>
      <c r="L17" s="13"/>
    </row>
    <row r="18" spans="1:12" ht="48" x14ac:dyDescent="0.15">
      <c r="A18" s="36">
        <v>17</v>
      </c>
      <c r="B18" s="3" t="s">
        <v>16</v>
      </c>
      <c r="C18" s="10" t="str">
        <f>"0001672015"</f>
        <v>0001672015</v>
      </c>
      <c r="D18" s="11" t="str">
        <f>"Languages and compilers for parallel computing : 9th International Workshop, LCPC '96, San Jose, California, USA, August 8-10, 1996 : proceedings / David Sehr ... [et al.] (eds.) ; : gw.-- Springer; c1997.-- (Lecture notes in computer science ; 1239)."</f>
        <v>Languages and compilers for parallel computing : 9th International Workshop, LCPC '96, San Jose, California, USA, August 8-10, 1996 : proceedings / David Sehr ... [et al.] (eds.) ; : gw.-- Springer; c1997.-- (Lecture notes in computer science ; 1239).</v>
      </c>
      <c r="E18" s="11" t="str">
        <f>": gw"</f>
        <v>: gw</v>
      </c>
      <c r="F18" s="28" t="s">
        <v>8</v>
      </c>
      <c r="G18" s="29" t="str">
        <f>"007.08/LE/1239"</f>
        <v>007.08/LE/1239</v>
      </c>
      <c r="H18" s="10" t="str">
        <f>"1998/05/15"</f>
        <v>1998/05/15</v>
      </c>
      <c r="I18" s="12">
        <v>12445</v>
      </c>
      <c r="J18" s="14">
        <v>500</v>
      </c>
      <c r="K18" s="10" t="str">
        <f>"2  洋書"</f>
        <v>2  洋書</v>
      </c>
      <c r="L18" s="13"/>
    </row>
    <row r="19" spans="1:12" ht="48" x14ac:dyDescent="0.15">
      <c r="A19" s="36">
        <v>18</v>
      </c>
      <c r="B19" s="3" t="s">
        <v>16</v>
      </c>
      <c r="C19" s="10" t="str">
        <f>"0001687491"</f>
        <v>0001687491</v>
      </c>
      <c r="D19" s="11" t="str">
        <f>"ECOOP '98 -- object-oriented programming : 12th European Conference, Brussels, Belgium, July 20-24 1998 : proceedings / Eric Jul (ed.).-- Springer; c1998.-- (Lecture notes in computer science ; 1445)."</f>
        <v>ECOOP '98 -- object-oriented programming : 12th European Conference, Brussels, Belgium, July 20-24 1998 : proceedings / Eric Jul (ed.).-- Springer; c1998.-- (Lecture notes in computer science ; 1445).</v>
      </c>
      <c r="E19" s="11" t="str">
        <f>""</f>
        <v/>
      </c>
      <c r="F19" s="28" t="s">
        <v>8</v>
      </c>
      <c r="G19" s="29" t="str">
        <f>"007.08/LE/1445"</f>
        <v>007.08/LE/1445</v>
      </c>
      <c r="H19" s="10" t="str">
        <f>"1999/01/13"</f>
        <v>1999/01/13</v>
      </c>
      <c r="I19" s="12">
        <v>12455</v>
      </c>
      <c r="J19" s="14">
        <v>500</v>
      </c>
      <c r="K19" s="10" t="str">
        <f>"2  洋書"</f>
        <v>2  洋書</v>
      </c>
      <c r="L19" s="13"/>
    </row>
    <row r="20" spans="1:12" ht="60" x14ac:dyDescent="0.15">
      <c r="A20" s="36">
        <v>19</v>
      </c>
      <c r="B20" s="3" t="s">
        <v>16</v>
      </c>
      <c r="C20" s="4" t="str">
        <f>"0002253589"</f>
        <v>0002253589</v>
      </c>
      <c r="D20" s="5" t="s">
        <v>18</v>
      </c>
      <c r="E20" s="5" t="str">
        <f>""</f>
        <v/>
      </c>
      <c r="F20" s="26"/>
      <c r="G20" s="27" t="str">
        <f>"007.08/LE/1739"</f>
        <v>007.08/LE/1739</v>
      </c>
      <c r="H20" s="4" t="str">
        <f>"2000/04/26"</f>
        <v>2000/04/26</v>
      </c>
      <c r="I20" s="6">
        <v>5896</v>
      </c>
      <c r="J20" s="6">
        <v>100</v>
      </c>
      <c r="K20" s="4" t="str">
        <f>"2  洋書"</f>
        <v>2  洋書</v>
      </c>
      <c r="L20" s="7"/>
    </row>
    <row r="21" spans="1:12" x14ac:dyDescent="0.15">
      <c r="A21" s="36">
        <v>20</v>
      </c>
      <c r="B21" s="3" t="s">
        <v>16</v>
      </c>
      <c r="C21" s="4" t="str">
        <f>"0000879033"</f>
        <v>0000879033</v>
      </c>
      <c r="D21" s="5" t="str">
        <f>"ニューロコンピューター読本 / 甘利俊一著.-- サイエンス社; 1989.2."</f>
        <v>ニューロコンピューター読本 / 甘利俊一著.-- サイエンス社; 1989.2.</v>
      </c>
      <c r="E21" s="5" t="str">
        <f>""</f>
        <v/>
      </c>
      <c r="F21" s="26"/>
      <c r="G21" s="27" t="str">
        <f>"007.1/ｱﾏ"</f>
        <v>007.1/ｱﾏ</v>
      </c>
      <c r="H21" s="4" t="str">
        <f>"1995/11/02"</f>
        <v>1995/11/02</v>
      </c>
      <c r="I21" s="6">
        <v>909</v>
      </c>
      <c r="J21" s="6">
        <v>100</v>
      </c>
      <c r="K21" s="4" t="str">
        <f t="shared" ref="K21:K129" si="1">"1  和書"</f>
        <v>1  和書</v>
      </c>
      <c r="L21" s="7"/>
    </row>
    <row r="22" spans="1:12" ht="24" x14ac:dyDescent="0.15">
      <c r="A22" s="36">
        <v>21</v>
      </c>
      <c r="B22" s="3" t="s">
        <v>16</v>
      </c>
      <c r="C22" s="4" t="str">
        <f>"0002292328"</f>
        <v>0002292328</v>
      </c>
      <c r="D22" s="5" t="str">
        <f>"Image processing : 画像処理標準テキストブック / 大沢裕 [ほか] 執筆 ; [本編], 入門編, 入門編講師手引書.-- 画像情報教育振興協会; 1996.10-."</f>
        <v>Image processing : 画像処理標準テキストブック / 大沢裕 [ほか] 執筆 ; [本編], 入門編, 入門編講師手引書.-- 画像情報教育振興協会; 1996.10-.</v>
      </c>
      <c r="E22" s="5" t="str">
        <f>"[本編]"</f>
        <v>[本編]</v>
      </c>
      <c r="F22" s="26"/>
      <c r="G22" s="27" t="str">
        <f>"007.1/ｵｵ"</f>
        <v>007.1/ｵｵ</v>
      </c>
      <c r="H22" s="4" t="str">
        <f>"2003/03/27"</f>
        <v>2003/03/27</v>
      </c>
      <c r="I22" s="6">
        <v>2835</v>
      </c>
      <c r="J22" s="6">
        <v>100</v>
      </c>
      <c r="K22" s="4" t="str">
        <f t="shared" si="1"/>
        <v>1  和書</v>
      </c>
      <c r="L22" s="7"/>
    </row>
    <row r="23" spans="1:12" ht="24" x14ac:dyDescent="0.15">
      <c r="A23" s="36">
        <v>22</v>
      </c>
      <c r="B23" s="3" t="s">
        <v>16</v>
      </c>
      <c r="C23" s="4" t="str">
        <f>"0001294583"</f>
        <v>0001294583</v>
      </c>
      <c r="D23" s="5" t="str">
        <f>"空間データの数理 : 3次元コンピューティングに向けて / 金谷健一著.-- 朝倉書店; 1995.3."</f>
        <v>空間データの数理 : 3次元コンピューティングに向けて / 金谷健一著.-- 朝倉書店; 1995.3.</v>
      </c>
      <c r="E23" s="5" t="str">
        <f>""</f>
        <v/>
      </c>
      <c r="F23" s="26"/>
      <c r="G23" s="27" t="str">
        <f>"007.1/ｶﾅ"</f>
        <v>007.1/ｶﾅ</v>
      </c>
      <c r="H23" s="4" t="str">
        <f>"1997/07/09"</f>
        <v>1997/07/09</v>
      </c>
      <c r="I23" s="6">
        <v>3118</v>
      </c>
      <c r="J23" s="6">
        <v>100</v>
      </c>
      <c r="K23" s="4" t="str">
        <f t="shared" si="1"/>
        <v>1  和書</v>
      </c>
      <c r="L23" s="7"/>
    </row>
    <row r="24" spans="1:12" x14ac:dyDescent="0.15">
      <c r="A24" s="36">
        <v>23</v>
      </c>
      <c r="B24" s="3" t="s">
        <v>16</v>
      </c>
      <c r="C24" s="4" t="str">
        <f>"0002259697"</f>
        <v>0002259697</v>
      </c>
      <c r="D24" s="5" t="str">
        <f>"画像理解 : 3次元認識の数理 / 金谷健一著.-- 森北出版; 1990.5."</f>
        <v>画像理解 : 3次元認識の数理 / 金谷健一著.-- 森北出版; 1990.5.</v>
      </c>
      <c r="E24" s="5" t="str">
        <f>""</f>
        <v/>
      </c>
      <c r="F24" s="26"/>
      <c r="G24" s="27" t="str">
        <f>"007.1/ｶﾅ"</f>
        <v>007.1/ｶﾅ</v>
      </c>
      <c r="H24" s="4" t="str">
        <f>"2000/10/17"</f>
        <v>2000/10/17</v>
      </c>
      <c r="I24" s="6">
        <v>3024</v>
      </c>
      <c r="J24" s="6">
        <v>100</v>
      </c>
      <c r="K24" s="4" t="str">
        <f t="shared" si="1"/>
        <v>1  和書</v>
      </c>
      <c r="L24" s="7"/>
    </row>
    <row r="25" spans="1:12" ht="24" x14ac:dyDescent="0.15">
      <c r="A25" s="36">
        <v>24</v>
      </c>
      <c r="B25" s="3" t="s">
        <v>16</v>
      </c>
      <c r="C25" s="4" t="str">
        <f>"0002293707"</f>
        <v>0002293707</v>
      </c>
      <c r="D25" s="5" t="str">
        <f>"画像処理 : 画像表現・圧縮・フラクタル / 鎌田清一郎著.-- サイエンス社; 2003.3.-- (Information science &amp; engineering ; T6)."</f>
        <v>画像処理 : 画像表現・圧縮・フラクタル / 鎌田清一郎著.-- サイエンス社; 2003.3.-- (Information science &amp; engineering ; T6).</v>
      </c>
      <c r="E25" s="5" t="str">
        <f>""</f>
        <v/>
      </c>
      <c r="F25" s="26"/>
      <c r="G25" s="27" t="str">
        <f>"007.1/ｶﾏ"</f>
        <v>007.1/ｶﾏ</v>
      </c>
      <c r="H25" s="4" t="str">
        <f>"2003/04/24"</f>
        <v>2003/04/24</v>
      </c>
      <c r="I25" s="6">
        <v>1512</v>
      </c>
      <c r="J25" s="6">
        <v>100</v>
      </c>
      <c r="K25" s="4" t="str">
        <f t="shared" si="1"/>
        <v>1  和書</v>
      </c>
      <c r="L25" s="7"/>
    </row>
    <row r="26" spans="1:12" ht="24" x14ac:dyDescent="0.15">
      <c r="A26" s="36">
        <v>25</v>
      </c>
      <c r="B26" s="3" t="s">
        <v>16</v>
      </c>
      <c r="C26" s="4" t="str">
        <f>"0000876599"</f>
        <v>0000876599</v>
      </c>
      <c r="D26" s="5" t="str">
        <f>"グランドチャレンジ : 人工知能の大いなる挑戦 / 北野宏明編著.-- 共立出版; 1993.8."</f>
        <v>グランドチャレンジ : 人工知能の大いなる挑戦 / 北野宏明編著.-- 共立出版; 1993.8.</v>
      </c>
      <c r="E26" s="5" t="str">
        <f>""</f>
        <v/>
      </c>
      <c r="F26" s="26"/>
      <c r="G26" s="27" t="str">
        <f>"007.1/ｷﾀ"</f>
        <v>007.1/ｷﾀ</v>
      </c>
      <c r="H26" s="4" t="str">
        <f>"1995/10/23"</f>
        <v>1995/10/23</v>
      </c>
      <c r="I26" s="6">
        <v>2503</v>
      </c>
      <c r="J26" s="6">
        <v>100</v>
      </c>
      <c r="K26" s="4" t="str">
        <f t="shared" si="1"/>
        <v>1  和書</v>
      </c>
      <c r="L26" s="7"/>
    </row>
    <row r="27" spans="1:12" ht="24" x14ac:dyDescent="0.15">
      <c r="A27" s="36">
        <v>26</v>
      </c>
      <c r="B27" s="3" t="s">
        <v>16</v>
      </c>
      <c r="C27" s="4" t="str">
        <f>"0002262178"</f>
        <v>0002262178</v>
      </c>
      <c r="D27" s="5" t="str">
        <f>"ロボットは心を持つか : サイバー意識論序説 / 喜多村直著.-- 共立出版; 2000.11."</f>
        <v>ロボットは心を持つか : サイバー意識論序説 / 喜多村直著.-- 共立出版; 2000.11.</v>
      </c>
      <c r="E27" s="5" t="str">
        <f>""</f>
        <v/>
      </c>
      <c r="F27" s="26"/>
      <c r="G27" s="27" t="str">
        <f>"007.1/ｷﾀ"</f>
        <v>007.1/ｷﾀ</v>
      </c>
      <c r="H27" s="4" t="str">
        <f>"2000/12/22"</f>
        <v>2000/12/22</v>
      </c>
      <c r="I27" s="6">
        <v>3024</v>
      </c>
      <c r="J27" s="6">
        <v>100</v>
      </c>
      <c r="K27" s="4" t="str">
        <f t="shared" si="1"/>
        <v>1  和書</v>
      </c>
      <c r="L27" s="7"/>
    </row>
    <row r="28" spans="1:12" ht="24" x14ac:dyDescent="0.15">
      <c r="A28" s="36">
        <v>27</v>
      </c>
      <c r="B28" s="3" t="s">
        <v>16</v>
      </c>
      <c r="C28" s="4" t="str">
        <f>"0002298269"</f>
        <v>0002298269</v>
      </c>
      <c r="D28" s="5" t="str">
        <f>"ニューロコンピューティング入門 / 坂和正敏, 田中雅博共著.-- 森北出版; 1997.1."</f>
        <v>ニューロコンピューティング入門 / 坂和正敏, 田中雅博共著.-- 森北出版; 1997.1.</v>
      </c>
      <c r="E28" s="5" t="str">
        <f>""</f>
        <v/>
      </c>
      <c r="F28" s="26"/>
      <c r="G28" s="27" t="str">
        <f>"007.1/ｻｶ"</f>
        <v>007.1/ｻｶ</v>
      </c>
      <c r="H28" s="4" t="str">
        <f>"2003/10/15"</f>
        <v>2003/10/15</v>
      </c>
      <c r="I28" s="6">
        <v>2646</v>
      </c>
      <c r="J28" s="6">
        <v>100</v>
      </c>
      <c r="K28" s="4" t="str">
        <f t="shared" si="1"/>
        <v>1  和書</v>
      </c>
      <c r="L28" s="7"/>
    </row>
    <row r="29" spans="1:12" x14ac:dyDescent="0.15">
      <c r="A29" s="36">
        <v>28</v>
      </c>
      <c r="B29" s="3" t="s">
        <v>16</v>
      </c>
      <c r="C29" s="4" t="str">
        <f>"0002259802"</f>
        <v>0002259802</v>
      </c>
      <c r="D29" s="5" t="str">
        <f>"コンピュータビジョン : 視覚の幾何学 / 佐藤淳著.-- コロナ社; 1999.5."</f>
        <v>コンピュータビジョン : 視覚の幾何学 / 佐藤淳著.-- コロナ社; 1999.5.</v>
      </c>
      <c r="E29" s="5" t="str">
        <f>""</f>
        <v/>
      </c>
      <c r="F29" s="26"/>
      <c r="G29" s="27" t="str">
        <f>"007.1/ｻﾄ"</f>
        <v>007.1/ｻﾄ</v>
      </c>
      <c r="H29" s="4" t="str">
        <f>"2000/10/24"</f>
        <v>2000/10/24</v>
      </c>
      <c r="I29" s="6">
        <v>2173</v>
      </c>
      <c r="J29" s="6">
        <v>100</v>
      </c>
      <c r="K29" s="4" t="str">
        <f t="shared" si="1"/>
        <v>1  和書</v>
      </c>
      <c r="L29" s="7"/>
    </row>
    <row r="30" spans="1:12" ht="24" x14ac:dyDescent="0.15">
      <c r="A30" s="36">
        <v>29</v>
      </c>
      <c r="B30" s="3" t="s">
        <v>16</v>
      </c>
      <c r="C30" s="4" t="str">
        <f>"0001293593"</f>
        <v>0001293593</v>
      </c>
      <c r="D30" s="5" t="str">
        <f>"人工知能大辞典 / Stuart C. Shapiro, David Eckroth [編] ; 大須賀節雄監訳.-- 丸善; 1991.8."</f>
        <v>人工知能大辞典 / Stuart C. Shapiro, David Eckroth [編] ; 大須賀節雄監訳.-- 丸善; 1991.8.</v>
      </c>
      <c r="E30" s="5" t="str">
        <f>""</f>
        <v/>
      </c>
      <c r="F30" s="26"/>
      <c r="G30" s="27" t="str">
        <f>"R007.1/ｼﾔ"</f>
        <v>R007.1/ｼﾔ</v>
      </c>
      <c r="H30" s="4" t="str">
        <f>"1997/06/19"</f>
        <v>1997/06/19</v>
      </c>
      <c r="I30" s="6">
        <v>42525</v>
      </c>
      <c r="J30" s="8">
        <v>1000</v>
      </c>
      <c r="K30" s="4" t="str">
        <f t="shared" si="1"/>
        <v>1  和書</v>
      </c>
      <c r="L30" s="7"/>
    </row>
    <row r="31" spans="1:12" x14ac:dyDescent="0.15">
      <c r="A31" s="36">
        <v>30</v>
      </c>
      <c r="B31" s="3" t="s">
        <v>16</v>
      </c>
      <c r="C31" s="4" t="str">
        <f>"0002280356"</f>
        <v>0002280356</v>
      </c>
      <c r="D31" s="5" t="str">
        <f>"Javaによる知能プログラミング入門 / 新谷虎松著.-- コロナ社; 2002.2."</f>
        <v>Javaによる知能プログラミング入門 / 新谷虎松著.-- コロナ社; 2002.2.</v>
      </c>
      <c r="E31" s="5" t="str">
        <f>""</f>
        <v/>
      </c>
      <c r="F31" s="26"/>
      <c r="G31" s="27" t="str">
        <f>"007.1/ｼﾝ"</f>
        <v>007.1/ｼﾝ</v>
      </c>
      <c r="H31" s="4" t="str">
        <f>"2002/02/28"</f>
        <v>2002/02/28</v>
      </c>
      <c r="I31" s="6">
        <v>2457</v>
      </c>
      <c r="J31" s="6">
        <v>100</v>
      </c>
      <c r="K31" s="4" t="str">
        <f t="shared" si="1"/>
        <v>1  和書</v>
      </c>
      <c r="L31" s="7"/>
    </row>
    <row r="32" spans="1:12" x14ac:dyDescent="0.15">
      <c r="A32" s="36">
        <v>31</v>
      </c>
      <c r="B32" s="3" t="s">
        <v>16</v>
      </c>
      <c r="C32" s="4" t="str">
        <f>"0002767031"</f>
        <v>0002767031</v>
      </c>
      <c r="D32" s="5" t="str">
        <f>"確率モデルによる画像処理技術入門 / 田中和之著.-- 森北出版; 2006.9."</f>
        <v>確率モデルによる画像処理技術入門 / 田中和之著.-- 森北出版; 2006.9.</v>
      </c>
      <c r="E32" s="5" t="str">
        <f>""</f>
        <v/>
      </c>
      <c r="F32" s="26"/>
      <c r="G32" s="27" t="str">
        <f>"007.1/ﾀﾅ"</f>
        <v>007.1/ﾀﾅ</v>
      </c>
      <c r="H32" s="4" t="str">
        <f>"2006/10/10"</f>
        <v>2006/10/10</v>
      </c>
      <c r="I32" s="6">
        <v>3591</v>
      </c>
      <c r="J32" s="6">
        <v>100</v>
      </c>
      <c r="K32" s="4" t="str">
        <f t="shared" si="1"/>
        <v>1  和書</v>
      </c>
      <c r="L32" s="7"/>
    </row>
    <row r="33" spans="1:12" ht="36" x14ac:dyDescent="0.15">
      <c r="A33" s="36">
        <v>32</v>
      </c>
      <c r="B33" s="3" t="s">
        <v>16</v>
      </c>
      <c r="C33" s="4" t="str">
        <f>"0001285864"</f>
        <v>0001285864</v>
      </c>
      <c r="D33" s="5" t="str">
        <f>"人工知能プログラミング / Charniak [ほか] 著 ; 白井英俊, 片桐恭弘訳.-- 日本コンピュータ協会; 1986.10.-- (コンピュータ・サイエンス研究書シリーズ / 日本コンピュータ協会編 ; 49)."</f>
        <v>人工知能プログラミング / Charniak [ほか] 著 ; 白井英俊, 片桐恭弘訳.-- 日本コンピュータ協会; 1986.10.-- (コンピュータ・サイエンス研究書シリーズ / 日本コンピュータ協会編 ; 49).</v>
      </c>
      <c r="E33" s="5" t="str">
        <f>""</f>
        <v/>
      </c>
      <c r="F33" s="26"/>
      <c r="G33" s="27" t="str">
        <f>"007.1/ﾁﾔ"</f>
        <v>007.1/ﾁﾔ</v>
      </c>
      <c r="H33" s="4" t="str">
        <f>"1997/03/04"</f>
        <v>1997/03/04</v>
      </c>
      <c r="I33" s="6">
        <v>4542</v>
      </c>
      <c r="J33" s="6">
        <v>100</v>
      </c>
      <c r="K33" s="4" t="str">
        <f t="shared" si="1"/>
        <v>1  和書</v>
      </c>
      <c r="L33" s="7"/>
    </row>
    <row r="34" spans="1:12" ht="36" x14ac:dyDescent="0.15">
      <c r="A34" s="36">
        <v>33</v>
      </c>
      <c r="B34" s="3" t="s">
        <v>16</v>
      </c>
      <c r="C34" s="4" t="str">
        <f>"0001262490"</f>
        <v>0001262490</v>
      </c>
      <c r="D34" s="5" t="str">
        <f>"画像と空間 : コンピュータビジョンの幾何学 / 出口光一郎著.-- 昭晃堂; 1991.5.-- (センシング/認識シリーズ / 森下巖, 藤村貞夫, 小畑秀文編 ; 第5巻)."</f>
        <v>画像と空間 : コンピュータビジョンの幾何学 / 出口光一郎著.-- 昭晃堂; 1991.5.-- (センシング/認識シリーズ / 森下巖, 藤村貞夫, 小畑秀文編 ; 第5巻).</v>
      </c>
      <c r="E34" s="5" t="str">
        <f>""</f>
        <v/>
      </c>
      <c r="F34" s="26"/>
      <c r="G34" s="27" t="str">
        <f>"007.1/ﾃﾞｸﾞ"</f>
        <v>007.1/ﾃﾞｸﾞ</v>
      </c>
      <c r="H34" s="4" t="str">
        <f>"1996/02/06"</f>
        <v>1996/02/06</v>
      </c>
      <c r="I34" s="6">
        <v>3244</v>
      </c>
      <c r="J34" s="6">
        <v>100</v>
      </c>
      <c r="K34" s="4" t="str">
        <f t="shared" si="1"/>
        <v>1  和書</v>
      </c>
      <c r="L34" s="7"/>
    </row>
    <row r="35" spans="1:12" x14ac:dyDescent="0.15">
      <c r="A35" s="36">
        <v>34</v>
      </c>
      <c r="B35" s="3" t="s">
        <v>16</v>
      </c>
      <c r="C35" s="4" t="str">
        <f>"0002284651"</f>
        <v>0002284651</v>
      </c>
      <c r="D35" s="5" t="str">
        <f>"画像認識論講義 / 出口光一郎著.-- 昭晃堂; 2002.6."</f>
        <v>画像認識論講義 / 出口光一郎著.-- 昭晃堂; 2002.6.</v>
      </c>
      <c r="E35" s="5" t="str">
        <f>""</f>
        <v/>
      </c>
      <c r="F35" s="26"/>
      <c r="G35" s="27" t="str">
        <f>"007.1/ﾃﾞｸﾞ"</f>
        <v>007.1/ﾃﾞｸﾞ</v>
      </c>
      <c r="H35" s="4" t="str">
        <f>"2002/07/15"</f>
        <v>2002/07/15</v>
      </c>
      <c r="I35" s="6">
        <v>3307</v>
      </c>
      <c r="J35" s="6">
        <v>100</v>
      </c>
      <c r="K35" s="4" t="str">
        <f t="shared" si="1"/>
        <v>1  和書</v>
      </c>
      <c r="L35" s="7"/>
    </row>
    <row r="36" spans="1:12" ht="36" x14ac:dyDescent="0.15">
      <c r="A36" s="36">
        <v>35</v>
      </c>
      <c r="B36" s="3" t="s">
        <v>16</v>
      </c>
      <c r="C36" s="4" t="str">
        <f>"0001299236"</f>
        <v>0001299236</v>
      </c>
      <c r="D36" s="5" t="str">
        <f>"画像理解のためのディジタル画像処理 / 鳥脇純一郎著 ; 1, 2.-- 3刷(第1回修正).-- 昭晃堂; 1991.7.-- (ディジタル信号処理シリーズ / 辻井重男企画・編集 ; 第6-7巻)."</f>
        <v>画像理解のためのディジタル画像処理 / 鳥脇純一郎著 ; 1, 2.-- 3刷(第1回修正).-- 昭晃堂; 1991.7.-- (ディジタル信号処理シリーズ / 辻井重男企画・編集 ; 第6-7巻).</v>
      </c>
      <c r="E36" s="5" t="str">
        <f>"2"</f>
        <v>2</v>
      </c>
      <c r="F36" s="26"/>
      <c r="G36" s="27" t="str">
        <f>"007.1/ﾄﾘ/2"</f>
        <v>007.1/ﾄﾘ/2</v>
      </c>
      <c r="H36" s="4" t="str">
        <f>"1997/10/24"</f>
        <v>1997/10/24</v>
      </c>
      <c r="I36" s="6">
        <v>3024</v>
      </c>
      <c r="J36" s="6">
        <v>100</v>
      </c>
      <c r="K36" s="4" t="str">
        <f t="shared" si="1"/>
        <v>1  和書</v>
      </c>
      <c r="L36" s="7"/>
    </row>
    <row r="37" spans="1:12" ht="24" x14ac:dyDescent="0.15">
      <c r="A37" s="36">
        <v>36</v>
      </c>
      <c r="B37" s="3" t="s">
        <v>16</v>
      </c>
      <c r="C37" s="4" t="str">
        <f>"0002255736"</f>
        <v>0002255736</v>
      </c>
      <c r="D37" s="5" t="str">
        <f>"確率モデルによる音声認識 / 中川聖一著 ; 電子情報通信学会編.-- 電子情報通信学会; 1988.7."</f>
        <v>確率モデルによる音声認識 / 中川聖一著 ; 電子情報通信学会編.-- 電子情報通信学会; 1988.7.</v>
      </c>
      <c r="E37" s="5" t="str">
        <f>""</f>
        <v/>
      </c>
      <c r="F37" s="26"/>
      <c r="G37" s="27" t="str">
        <f>"007.1/ﾅｶ"</f>
        <v>007.1/ﾅｶ</v>
      </c>
      <c r="H37" s="4" t="str">
        <f>"2000/06/12"</f>
        <v>2000/06/12</v>
      </c>
      <c r="I37" s="6">
        <v>2366</v>
      </c>
      <c r="J37" s="6">
        <v>100</v>
      </c>
      <c r="K37" s="4" t="str">
        <f t="shared" si="1"/>
        <v>1  和書</v>
      </c>
      <c r="L37" s="7"/>
    </row>
    <row r="38" spans="1:12" ht="24" x14ac:dyDescent="0.15">
      <c r="A38" s="36">
        <v>37</v>
      </c>
      <c r="B38" s="3" t="s">
        <v>16</v>
      </c>
      <c r="C38" s="4" t="str">
        <f>"0002772332"</f>
        <v>0002772332</v>
      </c>
      <c r="D38" s="5" t="str">
        <f>"パターン情報処理 / 中川聖一著.-- 丸善; 1999.3.-- (情報科学コアカリキュラム講座 / 稲垣康善 [ほか] 編集)."</f>
        <v>パターン情報処理 / 中川聖一著.-- 丸善; 1999.3.-- (情報科学コアカリキュラム講座 / 稲垣康善 [ほか] 編集).</v>
      </c>
      <c r="E38" s="5" t="str">
        <f>""</f>
        <v/>
      </c>
      <c r="F38" s="26"/>
      <c r="G38" s="27" t="str">
        <f>"007.1/ﾅｶ"</f>
        <v>007.1/ﾅｶ</v>
      </c>
      <c r="H38" s="4" t="str">
        <f>"2007/12/13"</f>
        <v>2007/12/13</v>
      </c>
      <c r="I38" s="6">
        <v>4630</v>
      </c>
      <c r="J38" s="6">
        <v>100</v>
      </c>
      <c r="K38" s="4" t="str">
        <f t="shared" si="1"/>
        <v>1  和書</v>
      </c>
      <c r="L38" s="7"/>
    </row>
    <row r="39" spans="1:12" ht="24" x14ac:dyDescent="0.15">
      <c r="A39" s="36">
        <v>38</v>
      </c>
      <c r="B39" s="3" t="s">
        <v>16</v>
      </c>
      <c r="C39" s="4" t="str">
        <f>"0000479370"</f>
        <v>0000479370</v>
      </c>
      <c r="D39" s="5" t="str">
        <f>"ペシミスティック・サイボーグ : 普遍言語機械への欲望 / 西垣通著.-- 青土社; 1994.3."</f>
        <v>ペシミスティック・サイボーグ : 普遍言語機械への欲望 / 西垣通著.-- 青土社; 1994.3.</v>
      </c>
      <c r="E39" s="5" t="str">
        <f>""</f>
        <v/>
      </c>
      <c r="F39" s="26"/>
      <c r="G39" s="27" t="str">
        <f>"007.1/ﾆｼ"</f>
        <v>007.1/ﾆｼ</v>
      </c>
      <c r="H39" s="4" t="str">
        <f>"1994/09/04"</f>
        <v>1994/09/04</v>
      </c>
      <c r="I39" s="6">
        <v>1980</v>
      </c>
      <c r="J39" s="6">
        <v>100</v>
      </c>
      <c r="K39" s="4" t="str">
        <f t="shared" si="1"/>
        <v>1  和書</v>
      </c>
      <c r="L39" s="7"/>
    </row>
    <row r="40" spans="1:12" ht="24" x14ac:dyDescent="0.15">
      <c r="A40" s="36">
        <v>39</v>
      </c>
      <c r="B40" s="3" t="s">
        <v>16</v>
      </c>
      <c r="C40" s="4" t="str">
        <f>"0001279085"</f>
        <v>0001279085</v>
      </c>
      <c r="D40" s="5" t="str">
        <f>"知能工学概論 / 廣田薫編著.-- 昭晃堂; 1996.11.-- (知能工学シリーズ ; 1)."</f>
        <v>知能工学概論 / 廣田薫編著.-- 昭晃堂; 1996.11.-- (知能工学シリーズ ; 1).</v>
      </c>
      <c r="E40" s="5" t="str">
        <f>""</f>
        <v/>
      </c>
      <c r="F40" s="26"/>
      <c r="G40" s="27" t="str">
        <f>"007.1/ﾋﾛ"</f>
        <v>007.1/ﾋﾛ</v>
      </c>
      <c r="H40" s="4" t="str">
        <f>"1996/11/06"</f>
        <v>1996/11/06</v>
      </c>
      <c r="I40" s="6">
        <v>2966</v>
      </c>
      <c r="J40" s="6">
        <v>100</v>
      </c>
      <c r="K40" s="4" t="str">
        <f t="shared" si="1"/>
        <v>1  和書</v>
      </c>
      <c r="L40" s="7"/>
    </row>
    <row r="41" spans="1:12" ht="24" x14ac:dyDescent="0.15">
      <c r="A41" s="36">
        <v>40</v>
      </c>
      <c r="B41" s="3" t="s">
        <v>16</v>
      </c>
      <c r="C41" s="4" t="str">
        <f>"0002283678"</f>
        <v>0002283678</v>
      </c>
      <c r="D41" s="5" t="str">
        <f>"知の創成 : 身体性認知科学への招待 / R. Pfeifer, C. Scheier著 ; 石黒章夫, 小林宏, 細田耕監訳.-- 共立出版; 2001.11."</f>
        <v>知の創成 : 身体性認知科学への招待 / R. Pfeifer, C. Scheier著 ; 石黒章夫, 小林宏, 細田耕監訳.-- 共立出版; 2001.11.</v>
      </c>
      <c r="E41" s="5" t="str">
        <f>""</f>
        <v/>
      </c>
      <c r="F41" s="26"/>
      <c r="G41" s="27" t="str">
        <f>"007.1/ﾌｱ"</f>
        <v>007.1/ﾌｱ</v>
      </c>
      <c r="H41" s="4" t="str">
        <f>"2002/06/05"</f>
        <v>2002/06/05</v>
      </c>
      <c r="I41" s="6">
        <v>12285</v>
      </c>
      <c r="J41" s="8">
        <v>500</v>
      </c>
      <c r="K41" s="4" t="str">
        <f t="shared" si="1"/>
        <v>1  和書</v>
      </c>
      <c r="L41" s="7"/>
    </row>
    <row r="42" spans="1:12" ht="48" x14ac:dyDescent="0.15">
      <c r="A42" s="36">
        <v>41</v>
      </c>
      <c r="B42" s="3" t="s">
        <v>16</v>
      </c>
      <c r="C42" s="10" t="str">
        <f>"0000147996"</f>
        <v>0000147996</v>
      </c>
      <c r="D42" s="11" t="str">
        <f>"知識獲得用語集と総合文献集 / R. S. Michalski [ほか] 編 ; 電総研人工知能研究グループ [ほか] 訳著.-- 共立出版; 1989.10.-- (知識獲得と学習シリーズ / R. S. Michalski [ほか] 編 ; 電総研人工知能研究グループ [ほか] 訳 ; 第8巻)."</f>
        <v>知識獲得用語集と総合文献集 / R. S. Michalski [ほか] 編 ; 電総研人工知能研究グループ [ほか] 訳著.-- 共立出版; 1989.10.-- (知識獲得と学習シリーズ / R. S. Michalski [ほか] 編 ; 電総研人工知能研究グループ [ほか] 訳 ; 第8巻).</v>
      </c>
      <c r="E42" s="11" t="str">
        <f>""</f>
        <v/>
      </c>
      <c r="F42" s="28" t="s">
        <v>8</v>
      </c>
      <c r="G42" s="29" t="str">
        <f>"007.1/ﾐｶ"</f>
        <v>007.1/ﾐｶ</v>
      </c>
      <c r="H42" s="10" t="str">
        <f>"1994/03/31"</f>
        <v>1994/03/31</v>
      </c>
      <c r="I42" s="12">
        <v>2356</v>
      </c>
      <c r="J42" s="12">
        <v>100</v>
      </c>
      <c r="K42" s="10" t="str">
        <f t="shared" si="1"/>
        <v>1  和書</v>
      </c>
      <c r="L42" s="13"/>
    </row>
    <row r="43" spans="1:12" ht="48" x14ac:dyDescent="0.15">
      <c r="A43" s="36">
        <v>42</v>
      </c>
      <c r="B43" s="3" t="s">
        <v>16</v>
      </c>
      <c r="C43" s="10" t="str">
        <f>"0000207720"</f>
        <v>0000207720</v>
      </c>
      <c r="D43" s="11" t="str">
        <f>"概念と規則の学習 : 例からの学習 / R. S. Michalski [ほか] 編 ; 電総研人工知能研究グループ [ほか] 訳 ; 石崎俊翻訳編集責任.-- 共立出版; 1988.5.-- (知識獲得と学習シリーズ / R. S. Michalski [ほか] 編 ; 電総研人工知能研究グループ [ほか] 訳 ; 第5巻)."</f>
        <v>概念と規則の学習 : 例からの学習 / R. S. Michalski [ほか] 編 ; 電総研人工知能研究グループ [ほか] 訳 ; 石崎俊翻訳編集責任.-- 共立出版; 1988.5.-- (知識獲得と学習シリーズ / R. S. Michalski [ほか] 編 ; 電総研人工知能研究グループ [ほか] 訳 ; 第5巻).</v>
      </c>
      <c r="E43" s="11" t="str">
        <f>""</f>
        <v/>
      </c>
      <c r="F43" s="28" t="s">
        <v>8</v>
      </c>
      <c r="G43" s="29" t="str">
        <f>"007.1/ﾐｶ"</f>
        <v>007.1/ﾐｶ</v>
      </c>
      <c r="H43" s="10" t="str">
        <f>"1994/03/31"</f>
        <v>1994/03/31</v>
      </c>
      <c r="I43" s="12">
        <v>2327</v>
      </c>
      <c r="J43" s="12">
        <v>100</v>
      </c>
      <c r="K43" s="10" t="str">
        <f t="shared" si="1"/>
        <v>1  和書</v>
      </c>
      <c r="L43" s="13"/>
    </row>
    <row r="44" spans="1:12" ht="48" x14ac:dyDescent="0.15">
      <c r="A44" s="36">
        <v>43</v>
      </c>
      <c r="B44" s="3" t="s">
        <v>16</v>
      </c>
      <c r="C44" s="10" t="str">
        <f>"0000629027"</f>
        <v>0000629027</v>
      </c>
      <c r="D44" s="11" t="str">
        <f>"知識獲得入門 : 帰納学習と応用 / R.S.Michalski [ほか] 編 ; 電総研人工知能研究グループ訳.-- 共立出版; 1987.6.-- (知識獲得と学習シリーズ / R. S. Michalski [ほか] 編 ; 電総研人工知能研究グループ [ほか] 訳 ; 第1巻)."</f>
        <v>知識獲得入門 : 帰納学習と応用 / R.S.Michalski [ほか] 編 ; 電総研人工知能研究グループ訳.-- 共立出版; 1987.6.-- (知識獲得と学習シリーズ / R. S. Michalski [ほか] 編 ; 電総研人工知能研究グループ [ほか] 訳 ; 第1巻).</v>
      </c>
      <c r="E44" s="11" t="str">
        <f>""</f>
        <v/>
      </c>
      <c r="F44" s="28" t="s">
        <v>8</v>
      </c>
      <c r="G44" s="29" t="str">
        <f>"007.1/ﾐｶ"</f>
        <v>007.1/ﾐｶ</v>
      </c>
      <c r="H44" s="10" t="str">
        <f>"1995/03/31"</f>
        <v>1995/03/31</v>
      </c>
      <c r="I44" s="12">
        <v>1828</v>
      </c>
      <c r="J44" s="12">
        <v>100</v>
      </c>
      <c r="K44" s="10" t="str">
        <f t="shared" si="1"/>
        <v>1  和書</v>
      </c>
      <c r="L44" s="13"/>
    </row>
    <row r="45" spans="1:12" ht="36" x14ac:dyDescent="0.15">
      <c r="A45" s="36">
        <v>44</v>
      </c>
      <c r="B45" s="3" t="s">
        <v>16</v>
      </c>
      <c r="C45" s="10" t="str">
        <f>"0001010183"</f>
        <v>0001010183</v>
      </c>
      <c r="D45" s="11" t="str">
        <f>"発見的学習 / R. S. Michalski [ほか] 編 ; 電総研人工知能研究グルーフ [ほか] 訳.-- 共立出版; 1988.7.-- (知識獲得と学習シリーズ / R. S. Michalski [ほか] 編 ; 電総研人工知能研究グループ [ほか] 訳 ; 第6巻)."</f>
        <v>発見的学習 / R. S. Michalski [ほか] 編 ; 電総研人工知能研究グルーフ [ほか] 訳.-- 共立出版; 1988.7.-- (知識獲得と学習シリーズ / R. S. Michalski [ほか] 編 ; 電総研人工知能研究グループ [ほか] 訳 ; 第6巻).</v>
      </c>
      <c r="E45" s="11" t="str">
        <f>""</f>
        <v/>
      </c>
      <c r="F45" s="28" t="s">
        <v>8</v>
      </c>
      <c r="G45" s="29" t="str">
        <f>"007.1/ﾐｶ"</f>
        <v>007.1/ﾐｶ</v>
      </c>
      <c r="H45" s="10" t="str">
        <f>"1996/03/29"</f>
        <v>1996/03/29</v>
      </c>
      <c r="I45" s="12">
        <v>1928</v>
      </c>
      <c r="J45" s="12">
        <v>100</v>
      </c>
      <c r="K45" s="10" t="str">
        <f t="shared" si="1"/>
        <v>1  和書</v>
      </c>
      <c r="L45" s="13"/>
    </row>
    <row r="46" spans="1:12" ht="36" x14ac:dyDescent="0.15">
      <c r="A46" s="36">
        <v>45</v>
      </c>
      <c r="B46" s="3" t="s">
        <v>16</v>
      </c>
      <c r="C46" s="10" t="str">
        <f>"0001042023"</f>
        <v>0001042023</v>
      </c>
      <c r="D46" s="11" t="str">
        <f>"類推学習 / R. S. Michalski [ほか] 編 ; 電総研人工知能研究グループ [ほか] 訳.-- 共立出版; 1988.12.-- (知識獲得と学習シリーズ / R. S. Michalski [ほか] 編 ; 電総研人工知能研究グループ [ほか] 訳 ; 第7巻)."</f>
        <v>類推学習 / R. S. Michalski [ほか] 編 ; 電総研人工知能研究グループ [ほか] 訳.-- 共立出版; 1988.12.-- (知識獲得と学習シリーズ / R. S. Michalski [ほか] 編 ; 電総研人工知能研究グループ [ほか] 訳 ; 第7巻).</v>
      </c>
      <c r="E46" s="11" t="str">
        <f>""</f>
        <v/>
      </c>
      <c r="F46" s="28" t="s">
        <v>8</v>
      </c>
      <c r="G46" s="29" t="str">
        <f>"007.1/ﾐｶ"</f>
        <v>007.1/ﾐｶ</v>
      </c>
      <c r="H46" s="10" t="str">
        <f>"1996/03/29"</f>
        <v>1996/03/29</v>
      </c>
      <c r="I46" s="12">
        <v>1928</v>
      </c>
      <c r="J46" s="12">
        <v>100</v>
      </c>
      <c r="K46" s="10" t="str">
        <f t="shared" si="1"/>
        <v>1  和書</v>
      </c>
      <c r="L46" s="13"/>
    </row>
    <row r="47" spans="1:12" x14ac:dyDescent="0.15">
      <c r="A47" s="36">
        <v>46</v>
      </c>
      <c r="B47" s="3" t="s">
        <v>16</v>
      </c>
      <c r="C47" s="4" t="str">
        <f>"0001285857"</f>
        <v>0001285857</v>
      </c>
      <c r="D47" s="5" t="str">
        <f>"人工知能の研究者たち / 溝口文雄著.-- 共立出版; 1990.9."</f>
        <v>人工知能の研究者たち / 溝口文雄著.-- 共立出版; 1990.9.</v>
      </c>
      <c r="E47" s="5" t="str">
        <f>""</f>
        <v/>
      </c>
      <c r="F47" s="26"/>
      <c r="G47" s="27" t="str">
        <f>"007.1/ﾐｿﾞ"</f>
        <v>007.1/ﾐｿﾞ</v>
      </c>
      <c r="H47" s="4" t="str">
        <f>"1997/03/04"</f>
        <v>1997/03/04</v>
      </c>
      <c r="I47" s="6">
        <v>2322</v>
      </c>
      <c r="J47" s="6">
        <v>100</v>
      </c>
      <c r="K47" s="4" t="str">
        <f t="shared" si="1"/>
        <v>1  和書</v>
      </c>
      <c r="L47" s="7"/>
    </row>
    <row r="48" spans="1:12" ht="24" x14ac:dyDescent="0.15">
      <c r="A48" s="36">
        <v>47</v>
      </c>
      <c r="B48" s="3" t="s">
        <v>16</v>
      </c>
      <c r="C48" s="4" t="str">
        <f>"0002266121"</f>
        <v>0002266121</v>
      </c>
      <c r="D48" s="5" t="str">
        <f>"マッチ箱の脳 (AI) : 使える人工知能のお話 / 森川幸人著.-- 新紀元社; 2000.12."</f>
        <v>マッチ箱の脳 (AI) : 使える人工知能のお話 / 森川幸人著.-- 新紀元社; 2000.12.</v>
      </c>
      <c r="E48" s="5" t="str">
        <f>""</f>
        <v/>
      </c>
      <c r="F48" s="26"/>
      <c r="G48" s="27" t="str">
        <f>"007.1/ﾓﾘ"</f>
        <v>007.1/ﾓﾘ</v>
      </c>
      <c r="H48" s="4" t="str">
        <f>"2001/04/16"</f>
        <v>2001/04/16</v>
      </c>
      <c r="I48" s="6">
        <v>2079</v>
      </c>
      <c r="J48" s="6">
        <v>100</v>
      </c>
      <c r="K48" s="4" t="str">
        <f t="shared" si="1"/>
        <v>1  和書</v>
      </c>
      <c r="L48" s="7"/>
    </row>
    <row r="49" spans="1:12" ht="24" x14ac:dyDescent="0.15">
      <c r="A49" s="36">
        <v>48</v>
      </c>
      <c r="B49" s="3" t="s">
        <v>16</v>
      </c>
      <c r="C49" s="4" t="str">
        <f>"0001671865"</f>
        <v>0001671865</v>
      </c>
      <c r="D49" s="5" t="str">
        <f>"エージェントアプローチ : 人工知能 / Stuart Russell, Peter Norvig著.-- 共立出版; 1997.12."</f>
        <v>エージェントアプローチ : 人工知能 / Stuart Russell, Peter Norvig著.-- 共立出版; 1997.12.</v>
      </c>
      <c r="E49" s="5" t="str">
        <f>""</f>
        <v/>
      </c>
      <c r="F49" s="26"/>
      <c r="G49" s="27" t="str">
        <f>"007.1/ﾗﾂ"</f>
        <v>007.1/ﾗﾂ</v>
      </c>
      <c r="H49" s="4" t="str">
        <f>"1998/05/13"</f>
        <v>1998/05/13</v>
      </c>
      <c r="I49" s="6">
        <v>14175</v>
      </c>
      <c r="J49" s="8">
        <v>500</v>
      </c>
      <c r="K49" s="4" t="str">
        <f t="shared" si="1"/>
        <v>1  和書</v>
      </c>
      <c r="L49" s="7"/>
    </row>
    <row r="50" spans="1:12" ht="24" x14ac:dyDescent="0.15">
      <c r="A50" s="36">
        <v>49</v>
      </c>
      <c r="B50" s="3" t="s">
        <v>16</v>
      </c>
      <c r="C50" s="4" t="str">
        <f>"0002776460"</f>
        <v>0002776460</v>
      </c>
      <c r="D50" s="5" t="str">
        <f>"エージェントアプローチ : 人工知能 / Stuart Russell, Peter Norvig著.-- 第2版.-- 共立出版; 2008.7."</f>
        <v>エージェントアプローチ : 人工知能 / Stuart Russell, Peter Norvig著.-- 第2版.-- 共立出版; 2008.7.</v>
      </c>
      <c r="E50" s="5" t="str">
        <f>""</f>
        <v/>
      </c>
      <c r="F50" s="26"/>
      <c r="G50" s="27" t="str">
        <f>"007.1/ﾗﾂ"</f>
        <v>007.1/ﾗﾂ</v>
      </c>
      <c r="H50" s="4" t="str">
        <f>"2008/08/11"</f>
        <v>2008/08/11</v>
      </c>
      <c r="I50" s="6">
        <v>16065</v>
      </c>
      <c r="J50" s="8">
        <v>500</v>
      </c>
      <c r="K50" s="4" t="str">
        <f t="shared" si="1"/>
        <v>1  和書</v>
      </c>
      <c r="L50" s="7"/>
    </row>
    <row r="51" spans="1:12" ht="24" x14ac:dyDescent="0.15">
      <c r="A51" s="36">
        <v>50</v>
      </c>
      <c r="B51" s="3" t="s">
        <v>16</v>
      </c>
      <c r="C51" s="10" t="str">
        <f>"0000461184"</f>
        <v>0000461184</v>
      </c>
      <c r="D51" s="11" t="str">
        <f>"アルゴリズムと複雑さ.-- 丸善; 1994.2.-- (コンピュータ基礎理論ハンドブック / Jan van Leeuwen [編] ; 廣瀬健, 野崎昭弘, 小林孝次郎監訳 ; 1)."</f>
        <v>アルゴリズムと複雑さ.-- 丸善; 1994.2.-- (コンピュータ基礎理論ハンドブック / Jan van Leeuwen [編] ; 廣瀬健, 野崎昭弘, 小林孝次郎監訳 ; 1).</v>
      </c>
      <c r="E51" s="11" t="str">
        <f>""</f>
        <v/>
      </c>
      <c r="F51" s="28" t="s">
        <v>8</v>
      </c>
      <c r="G51" s="29" t="str">
        <f>"007.1/ﾘｳ/1"</f>
        <v>007.1/ﾘｳ/1</v>
      </c>
      <c r="H51" s="10" t="str">
        <f>"1994/06/03"</f>
        <v>1994/06/03</v>
      </c>
      <c r="I51" s="12">
        <v>25492</v>
      </c>
      <c r="J51" s="14">
        <v>1000</v>
      </c>
      <c r="K51" s="10" t="str">
        <f t="shared" si="1"/>
        <v>1  和書</v>
      </c>
      <c r="L51" s="13"/>
    </row>
    <row r="52" spans="1:12" ht="36" x14ac:dyDescent="0.15">
      <c r="A52" s="36">
        <v>51</v>
      </c>
      <c r="B52" s="3" t="s">
        <v>16</v>
      </c>
      <c r="C52" s="4" t="str">
        <f>"0001273601"</f>
        <v>0001273601</v>
      </c>
      <c r="D52" s="5" t="str">
        <f>"Computational theories of interaction and agency / edited by Philip E. Agre and Stanley J. Rosenschein.-- MIT Press; 1996.-- (The MIT Press series in artificial intelligence)."</f>
        <v>Computational theories of interaction and agency / edited by Philip E. Agre and Stanley J. Rosenschein.-- MIT Press; 1996.-- (The MIT Press series in artificial intelligence).</v>
      </c>
      <c r="E52" s="5" t="str">
        <f>""</f>
        <v/>
      </c>
      <c r="F52" s="26"/>
      <c r="G52" s="27" t="str">
        <f>"007.1/AG"</f>
        <v>007.1/AG</v>
      </c>
      <c r="H52" s="4" t="str">
        <f>"1996/07/22"</f>
        <v>1996/07/22</v>
      </c>
      <c r="I52" s="6">
        <v>8843</v>
      </c>
      <c r="J52" s="6">
        <v>100</v>
      </c>
      <c r="K52" s="4" t="str">
        <f t="shared" ref="K52:K115" si="2">"2  洋書"</f>
        <v>2  洋書</v>
      </c>
      <c r="L52" s="7"/>
    </row>
    <row r="53" spans="1:12" ht="24" x14ac:dyDescent="0.15">
      <c r="A53" s="36">
        <v>52</v>
      </c>
      <c r="B53" s="3" t="s">
        <v>16</v>
      </c>
      <c r="C53" s="4" t="str">
        <f>"0001665345"</f>
        <v>0001665345</v>
      </c>
      <c r="D53" s="5" t="str">
        <f>"Lazy learning / edited by David W. Aha.-- Kluwer Academic Publishers; 1997."</f>
        <v>Lazy learning / edited by David W. Aha.-- Kluwer Academic Publishers; 1997.</v>
      </c>
      <c r="E53" s="5" t="str">
        <f>""</f>
        <v/>
      </c>
      <c r="F53" s="26"/>
      <c r="G53" s="27" t="str">
        <f>"007.1/AH"</f>
        <v>007.1/AH</v>
      </c>
      <c r="H53" s="4" t="str">
        <f>"1998/02/20"</f>
        <v>1998/02/20</v>
      </c>
      <c r="I53" s="6">
        <v>15989</v>
      </c>
      <c r="J53" s="8">
        <v>500</v>
      </c>
      <c r="K53" s="4" t="str">
        <f t="shared" si="2"/>
        <v>2  洋書</v>
      </c>
      <c r="L53" s="7"/>
    </row>
    <row r="54" spans="1:12" ht="36" x14ac:dyDescent="0.15">
      <c r="A54" s="36">
        <v>53</v>
      </c>
      <c r="B54" s="3" t="s">
        <v>16</v>
      </c>
      <c r="C54" s="4" t="str">
        <f>"0001275070"</f>
        <v>0001275070</v>
      </c>
      <c r="D54" s="5" t="str">
        <f>"Logical reasoning with diagrams / edited by Gerard Allwein and Jon Barwise ; with contributions by Gerard Allwein ... [et al.].-- Oxford University Press; 1996.-- (Studies in logic and computation)."</f>
        <v>Logical reasoning with diagrams / edited by Gerard Allwein and Jon Barwise ; with contributions by Gerard Allwein ... [et al.].-- Oxford University Press; 1996.-- (Studies in logic and computation).</v>
      </c>
      <c r="E54" s="5" t="str">
        <f>""</f>
        <v/>
      </c>
      <c r="F54" s="26"/>
      <c r="G54" s="27" t="str">
        <f>"007.1/AL"</f>
        <v>007.1/AL</v>
      </c>
      <c r="H54" s="4" t="str">
        <f>"1996/08/02"</f>
        <v>1996/08/02</v>
      </c>
      <c r="I54" s="6">
        <v>6632</v>
      </c>
      <c r="J54" s="6">
        <v>100</v>
      </c>
      <c r="K54" s="4" t="str">
        <f t="shared" si="2"/>
        <v>2  洋書</v>
      </c>
      <c r="L54" s="7"/>
    </row>
    <row r="55" spans="1:12" ht="24" x14ac:dyDescent="0.15">
      <c r="A55" s="36">
        <v>54</v>
      </c>
      <c r="B55" s="3" t="s">
        <v>16</v>
      </c>
      <c r="C55" s="10" t="str">
        <f>"0001266979"</f>
        <v>0001266979</v>
      </c>
      <c r="D55" s="11" t="str">
        <f>"Natural language understanding / James Allen ; : pbk.-- 2nd ed.-- Benjamin/Cummings Pub. Co.; c1995."</f>
        <v>Natural language understanding / James Allen ; : pbk.-- 2nd ed.-- Benjamin/Cummings Pub. Co.; c1995.</v>
      </c>
      <c r="E55" s="11" t="str">
        <f>""</f>
        <v/>
      </c>
      <c r="F55" s="28" t="s">
        <v>8</v>
      </c>
      <c r="G55" s="29" t="str">
        <f>"007.1/AL"</f>
        <v>007.1/AL</v>
      </c>
      <c r="H55" s="10" t="str">
        <f>"1996/04/22"</f>
        <v>1996/04/22</v>
      </c>
      <c r="I55" s="12">
        <v>7888</v>
      </c>
      <c r="J55" s="12">
        <v>100</v>
      </c>
      <c r="K55" s="10" t="str">
        <f t="shared" si="2"/>
        <v>2  洋書</v>
      </c>
      <c r="L55" s="13"/>
    </row>
    <row r="56" spans="1:12" ht="36" x14ac:dyDescent="0.15">
      <c r="A56" s="36">
        <v>55</v>
      </c>
      <c r="B56" s="3" t="s">
        <v>16</v>
      </c>
      <c r="C56" s="4" t="str">
        <f>"0000451154"</f>
        <v>0000451154</v>
      </c>
      <c r="D56" s="5" t="str">
        <f>"Machine learning : an artificial intelligence approach / contributors, Saul Amarel ... [et al.] ; editors, Ryszard S. Michalski, Jaime G. Carbonell, Tom M. Mitchell ; [v. 1] - v. 4.-- Morgan Kaufmann; c1983-c1994."</f>
        <v>Machine learning : an artificial intelligence approach / contributors, Saul Amarel ... [et al.] ; editors, Ryszard S. Michalski, Jaime G. Carbonell, Tom M. Mitchell ; [v. 1] - v. 4.-- Morgan Kaufmann; c1983-c1994.</v>
      </c>
      <c r="E56" s="5" t="str">
        <f>"[v. 1]"</f>
        <v>[v. 1]</v>
      </c>
      <c r="F56" s="26"/>
      <c r="G56" s="27" t="str">
        <f>"007.1/AM/1"</f>
        <v>007.1/AM/1</v>
      </c>
      <c r="H56" s="4" t="str">
        <f>"1994/05/17"</f>
        <v>1994/05/17</v>
      </c>
      <c r="I56" s="6">
        <v>9167</v>
      </c>
      <c r="J56" s="6">
        <v>100</v>
      </c>
      <c r="K56" s="4" t="str">
        <f t="shared" si="2"/>
        <v>2  洋書</v>
      </c>
      <c r="L56" s="7"/>
    </row>
    <row r="57" spans="1:12" ht="36" x14ac:dyDescent="0.15">
      <c r="A57" s="36">
        <v>56</v>
      </c>
      <c r="B57" s="3" t="s">
        <v>16</v>
      </c>
      <c r="C57" s="4" t="str">
        <f>"0000451161"</f>
        <v>0000451161</v>
      </c>
      <c r="D57" s="5" t="str">
        <f>"Machine learning : an artificial intelligence approach / contributors, Saul Amarel ... [et al.] ; editors, Ryszard S. Michalski, Jaime G. Carbonell, Tom M. Mitchell ; [v. 1] - v. 4.-- Morgan Kaufmann; c1983-c1994."</f>
        <v>Machine learning : an artificial intelligence approach / contributors, Saul Amarel ... [et al.] ; editors, Ryszard S. Michalski, Jaime G. Carbonell, Tom M. Mitchell ; [v. 1] - v. 4.-- Morgan Kaufmann; c1983-c1994.</v>
      </c>
      <c r="E57" s="5" t="str">
        <f>"v. 2"</f>
        <v>v. 2</v>
      </c>
      <c r="F57" s="26"/>
      <c r="G57" s="27" t="str">
        <f>"007.1/AM/2"</f>
        <v>007.1/AM/2</v>
      </c>
      <c r="H57" s="4" t="str">
        <f>"1994/05/17"</f>
        <v>1994/05/17</v>
      </c>
      <c r="I57" s="6">
        <v>9167</v>
      </c>
      <c r="J57" s="6">
        <v>100</v>
      </c>
      <c r="K57" s="4" t="str">
        <f t="shared" si="2"/>
        <v>2  洋書</v>
      </c>
      <c r="L57" s="7"/>
    </row>
    <row r="58" spans="1:12" ht="36" x14ac:dyDescent="0.15">
      <c r="A58" s="36">
        <v>57</v>
      </c>
      <c r="B58" s="3" t="s">
        <v>16</v>
      </c>
      <c r="C58" s="4" t="str">
        <f>"0000451178"</f>
        <v>0000451178</v>
      </c>
      <c r="D58" s="5" t="str">
        <f>"Machine learning : an artificial intelligence approach / contributors, Saul Amarel ... [et al.] ; editors, Ryszard S. Michalski, Jaime G. Carbonell, Tom M. Mitchell ; [v. 1] - v. 4.-- Morgan Kaufmann; c1983-c1994."</f>
        <v>Machine learning : an artificial intelligence approach / contributors, Saul Amarel ... [et al.] ; editors, Ryszard S. Michalski, Jaime G. Carbonell, Tom M. Mitchell ; [v. 1] - v. 4.-- Morgan Kaufmann; c1983-c1994.</v>
      </c>
      <c r="E58" s="5" t="str">
        <f>"v. 3"</f>
        <v>v. 3</v>
      </c>
      <c r="F58" s="26"/>
      <c r="G58" s="27" t="str">
        <f>"007.1/AM/3"</f>
        <v>007.1/AM/3</v>
      </c>
      <c r="H58" s="4" t="str">
        <f>"1994/05/17"</f>
        <v>1994/05/17</v>
      </c>
      <c r="I58" s="6">
        <v>10085</v>
      </c>
      <c r="J58" s="8">
        <v>500</v>
      </c>
      <c r="K58" s="4" t="str">
        <f t="shared" si="2"/>
        <v>2  洋書</v>
      </c>
      <c r="L58" s="7"/>
    </row>
    <row r="59" spans="1:12" ht="36" x14ac:dyDescent="0.15">
      <c r="A59" s="36">
        <v>58</v>
      </c>
      <c r="B59" s="3" t="s">
        <v>16</v>
      </c>
      <c r="C59" s="4" t="str">
        <f>"0001281620"</f>
        <v>0001281620</v>
      </c>
      <c r="D59" s="5" t="str">
        <f>"Artificial vision : image description, recognition and communication / edited by Virginio Cantoni, Stefano Levialdi, Vito Roberto.-- Academic Press; c1997.-- (Signal processing and its applications)."</f>
        <v>Artificial vision : image description, recognition and communication / edited by Virginio Cantoni, Stefano Levialdi, Vito Roberto.-- Academic Press; c1997.-- (Signal processing and its applications).</v>
      </c>
      <c r="E59" s="5" t="str">
        <f>""</f>
        <v/>
      </c>
      <c r="F59" s="26"/>
      <c r="G59" s="27" t="str">
        <f>"007.1/AR"</f>
        <v>007.1/AR</v>
      </c>
      <c r="H59" s="4" t="str">
        <f>"1996/12/25"</f>
        <v>1996/12/25</v>
      </c>
      <c r="I59" s="6">
        <v>9446</v>
      </c>
      <c r="J59" s="6">
        <v>100</v>
      </c>
      <c r="K59" s="4" t="str">
        <f t="shared" si="2"/>
        <v>2  洋書</v>
      </c>
      <c r="L59" s="7"/>
    </row>
    <row r="60" spans="1:12" ht="24" x14ac:dyDescent="0.15">
      <c r="A60" s="36">
        <v>59</v>
      </c>
      <c r="B60" s="3" t="s">
        <v>16</v>
      </c>
      <c r="C60" s="4" t="str">
        <f>"0000890403"</f>
        <v>0000890403</v>
      </c>
      <c r="D60" s="5" t="str">
        <f>"Learning systems / Eduard Aved◆U02BE◆yan ; edited by J. Mason and P.C. Parks ; : pbk.-- Springer; c1995."</f>
        <v>Learning systems / Eduard Aved◆U02BE◆yan ; edited by J. Mason and P.C. Parks ; : pbk.-- Springer; c1995.</v>
      </c>
      <c r="E60" s="5" t="str">
        <f>": pbk"</f>
        <v>: pbk</v>
      </c>
      <c r="F60" s="26"/>
      <c r="G60" s="27" t="str">
        <f>"007.1/AV"</f>
        <v>007.1/AV</v>
      </c>
      <c r="H60" s="4" t="str">
        <f>"1996/01/11"</f>
        <v>1996/01/11</v>
      </c>
      <c r="I60" s="6">
        <v>6285</v>
      </c>
      <c r="J60" s="6">
        <v>100</v>
      </c>
      <c r="K60" s="4" t="str">
        <f t="shared" si="2"/>
        <v>2  洋書</v>
      </c>
      <c r="L60" s="7"/>
    </row>
    <row r="61" spans="1:12" ht="48" x14ac:dyDescent="0.15">
      <c r="A61" s="36">
        <v>60</v>
      </c>
      <c r="B61" s="3" t="s">
        <v>16</v>
      </c>
      <c r="C61" s="4" t="str">
        <f>"0001275063"</f>
        <v>0001275063</v>
      </c>
      <c r="D61" s="5" t="str">
        <f>"Identification, adaptation, learning : the science of learning models from data / edited by Sergio Bittanti, Giorgio Picci.-- Springer; c1996.-- (NATO ASI series ; Series F . Computer and systems sciences ; no. 153)."</f>
        <v>Identification, adaptation, learning : the science of learning models from data / edited by Sergio Bittanti, Giorgio Picci.-- Springer; c1996.-- (NATO ASI series ; Series F . Computer and systems sciences ; no. 153).</v>
      </c>
      <c r="E61" s="5" t="str">
        <f>""</f>
        <v/>
      </c>
      <c r="F61" s="26"/>
      <c r="G61" s="27" t="str">
        <f>"007.1/BI"</f>
        <v>007.1/BI</v>
      </c>
      <c r="H61" s="4" t="str">
        <f>"1996/08/06"</f>
        <v>1996/08/06</v>
      </c>
      <c r="I61" s="6">
        <v>20006</v>
      </c>
      <c r="J61" s="8">
        <v>1000</v>
      </c>
      <c r="K61" s="4" t="str">
        <f t="shared" si="2"/>
        <v>2  洋書</v>
      </c>
      <c r="L61" s="7"/>
    </row>
    <row r="62" spans="1:12" ht="36" x14ac:dyDescent="0.15">
      <c r="A62" s="36">
        <v>61</v>
      </c>
      <c r="B62" s="3" t="s">
        <v>16</v>
      </c>
      <c r="C62" s="4" t="str">
        <f>"0001691658"</f>
        <v>0001691658</v>
      </c>
      <c r="D62" s="5" t="str">
        <f>"Neural networks and machine learning / edited by Christopher M. Bishop.-- Springer, 1998.-- (NATO ASI series ; Series F . Computer and systems sciences ; no. 168)."</f>
        <v>Neural networks and machine learning / edited by Christopher M. Bishop.-- Springer, 1998.-- (NATO ASI series ; Series F . Computer and systems sciences ; no. 168).</v>
      </c>
      <c r="E62" s="5" t="str">
        <f>""</f>
        <v/>
      </c>
      <c r="F62" s="26"/>
      <c r="G62" s="27" t="str">
        <f>"007.1/BI"</f>
        <v>007.1/BI</v>
      </c>
      <c r="H62" s="4" t="str">
        <f>"1999/04/21"</f>
        <v>1999/04/21</v>
      </c>
      <c r="I62" s="6">
        <v>11462</v>
      </c>
      <c r="J62" s="8">
        <v>500</v>
      </c>
      <c r="K62" s="4" t="str">
        <f t="shared" si="2"/>
        <v>2  洋書</v>
      </c>
      <c r="L62" s="7"/>
    </row>
    <row r="63" spans="1:12" ht="24" x14ac:dyDescent="0.15">
      <c r="A63" s="36">
        <v>62</v>
      </c>
      <c r="B63" s="3" t="s">
        <v>16</v>
      </c>
      <c r="C63" s="4" t="str">
        <f>"0001694017"</f>
        <v>0001694017</v>
      </c>
      <c r="D63" s="5" t="str">
        <f>"Neural networks for pattern recognition / Christopher M. Bishop ; : hbk, : pbk.-- Clarendon Press; 1995."</f>
        <v>Neural networks for pattern recognition / Christopher M. Bishop ; : hbk, : pbk.-- Clarendon Press; 1995.</v>
      </c>
      <c r="E63" s="5" t="str">
        <f>": pbk"</f>
        <v>: pbk</v>
      </c>
      <c r="F63" s="26"/>
      <c r="G63" s="27" t="str">
        <f>"007.1/BI"</f>
        <v>007.1/BI</v>
      </c>
      <c r="H63" s="4" t="str">
        <f>"1999/06/18"</f>
        <v>1999/06/18</v>
      </c>
      <c r="I63" s="6">
        <v>7119</v>
      </c>
      <c r="J63" s="6">
        <v>100</v>
      </c>
      <c r="K63" s="4" t="str">
        <f t="shared" si="2"/>
        <v>2  洋書</v>
      </c>
      <c r="L63" s="7"/>
    </row>
    <row r="64" spans="1:12" ht="36" x14ac:dyDescent="0.15">
      <c r="A64" s="36">
        <v>63</v>
      </c>
      <c r="B64" s="3" t="s">
        <v>16</v>
      </c>
      <c r="C64" s="4" t="str">
        <f>"0002769431"</f>
        <v>0002769431</v>
      </c>
      <c r="D64" s="5" t="str">
        <f>"Pattern recognition and machine learning / Christopher M. Bishop ; : pbk.-- Springer; c2006.-- (Information science and statistics / series editors M. Jordan ... [et al.])."</f>
        <v>Pattern recognition and machine learning / Christopher M. Bishop ; : pbk.-- Springer; c2006.-- (Information science and statistics / series editors M. Jordan ... [et al.]).</v>
      </c>
      <c r="E64" s="5" t="str">
        <f>""</f>
        <v/>
      </c>
      <c r="F64" s="26"/>
      <c r="G64" s="27" t="str">
        <f>"007.1/BI"</f>
        <v>007.1/BI</v>
      </c>
      <c r="H64" s="4" t="str">
        <f>"2007/02/21"</f>
        <v>2007/02/21</v>
      </c>
      <c r="I64" s="6">
        <v>13532</v>
      </c>
      <c r="J64" s="8">
        <v>500</v>
      </c>
      <c r="K64" s="4" t="str">
        <f t="shared" si="2"/>
        <v>2  洋書</v>
      </c>
      <c r="L64" s="7"/>
    </row>
    <row r="65" spans="1:12" ht="36" x14ac:dyDescent="0.15">
      <c r="A65" s="36">
        <v>64</v>
      </c>
      <c r="B65" s="3" t="s">
        <v>16</v>
      </c>
      <c r="C65" s="4" t="str">
        <f>"0000468701"</f>
        <v>0000468701</v>
      </c>
      <c r="D65" s="5" t="str">
        <f>"Artificial intelligence in perspective / edited by Daniel G. Bobrow.-- 1st MIT Press ed.-- MIT Press; 1994.-- (Special issues of Artificial intelligence, an international journal)."</f>
        <v>Artificial intelligence in perspective / edited by Daniel G. Bobrow.-- 1st MIT Press ed.-- MIT Press; 1994.-- (Special issues of Artificial intelligence, an international journal).</v>
      </c>
      <c r="E65" s="5" t="str">
        <f>""</f>
        <v/>
      </c>
      <c r="F65" s="26"/>
      <c r="G65" s="27" t="str">
        <f>"007.1/BO"</f>
        <v>007.1/BO</v>
      </c>
      <c r="H65" s="4" t="str">
        <f>"1994/07/07"</f>
        <v>1994/07/07</v>
      </c>
      <c r="I65" s="6">
        <v>7004</v>
      </c>
      <c r="J65" s="6">
        <v>100</v>
      </c>
      <c r="K65" s="4" t="str">
        <f t="shared" si="2"/>
        <v>2  洋書</v>
      </c>
      <c r="L65" s="7"/>
    </row>
    <row r="66" spans="1:12" ht="36" x14ac:dyDescent="0.15">
      <c r="A66" s="36">
        <v>65</v>
      </c>
      <c r="B66" s="3" t="s">
        <v>16</v>
      </c>
      <c r="C66" s="4" t="str">
        <f>"0001272550"</f>
        <v>0001272550</v>
      </c>
      <c r="D66" s="5" t="str">
        <f>"Artificial intelligence / edited by Margaret A. Boden.-- Academic Press; 1996.-- (Handbook of perception and cognition / editors, Edward C. Carterette, Morton P. Friedman)."</f>
        <v>Artificial intelligence / edited by Margaret A. Boden.-- Academic Press; 1996.-- (Handbook of perception and cognition / editors, Edward C. Carterette, Morton P. Friedman).</v>
      </c>
      <c r="E66" s="5" t="str">
        <f>""</f>
        <v/>
      </c>
      <c r="F66" s="26"/>
      <c r="G66" s="27" t="str">
        <f>"007.1/BO"</f>
        <v>007.1/BO</v>
      </c>
      <c r="H66" s="4" t="str">
        <f>"1996/07/05"</f>
        <v>1996/07/05</v>
      </c>
      <c r="I66" s="6">
        <v>8834</v>
      </c>
      <c r="J66" s="6">
        <v>100</v>
      </c>
      <c r="K66" s="4" t="str">
        <f t="shared" si="2"/>
        <v>2  洋書</v>
      </c>
      <c r="L66" s="7"/>
    </row>
    <row r="67" spans="1:12" ht="36" x14ac:dyDescent="0.15">
      <c r="A67" s="36">
        <v>66</v>
      </c>
      <c r="B67" s="3" t="s">
        <v>16</v>
      </c>
      <c r="C67" s="4" t="str">
        <f>"0002256061"</f>
        <v>0002256061</v>
      </c>
      <c r="D67" s="5" t="str">
        <f>"An introduction to support vector machines and other kernel-based learning methods / Nello Cristianini and John Shawe-Taylor ; : hbk.-- Cambridge University Press; 2000."</f>
        <v>An introduction to support vector machines and other kernel-based learning methods / Nello Cristianini and John Shawe-Taylor ; : hbk.-- Cambridge University Press; 2000.</v>
      </c>
      <c r="E67" s="5" t="str">
        <f>": hbk"</f>
        <v>: hbk</v>
      </c>
      <c r="F67" s="26"/>
      <c r="G67" s="27" t="str">
        <f>"007.1/CR"</f>
        <v>007.1/CR</v>
      </c>
      <c r="H67" s="4" t="str">
        <f>"2000/06/16"</f>
        <v>2000/06/16</v>
      </c>
      <c r="I67" s="6">
        <v>6965</v>
      </c>
      <c r="J67" s="6">
        <v>100</v>
      </c>
      <c r="K67" s="4" t="str">
        <f t="shared" si="2"/>
        <v>2  洋書</v>
      </c>
      <c r="L67" s="7"/>
    </row>
    <row r="68" spans="1:12" ht="36" x14ac:dyDescent="0.15">
      <c r="A68" s="36">
        <v>67</v>
      </c>
      <c r="B68" s="3" t="s">
        <v>16</v>
      </c>
      <c r="C68" s="4" t="str">
        <f>"0001268294"</f>
        <v>0001268294</v>
      </c>
      <c r="D68" s="5" t="str">
        <f>"An information-theoretic approach to neural computing / Gustavo Deco, Dragan Obradovic.-- Springer; c1996.-- (Perspectives in neural computing)."</f>
        <v>An information-theoretic approach to neural computing / Gustavo Deco, Dragan Obradovic.-- Springer; c1996.-- (Perspectives in neural computing).</v>
      </c>
      <c r="E68" s="5" t="str">
        <f>""</f>
        <v/>
      </c>
      <c r="F68" s="26"/>
      <c r="G68" s="27" t="str">
        <f>"007.1/DE"</f>
        <v>007.1/DE</v>
      </c>
      <c r="H68" s="4" t="str">
        <f>"1996/05/21"</f>
        <v>1996/05/21</v>
      </c>
      <c r="I68" s="6">
        <v>7462</v>
      </c>
      <c r="J68" s="6">
        <v>100</v>
      </c>
      <c r="K68" s="4" t="str">
        <f t="shared" si="2"/>
        <v>2  洋書</v>
      </c>
      <c r="L68" s="7"/>
    </row>
    <row r="69" spans="1:12" ht="24" x14ac:dyDescent="0.15">
      <c r="A69" s="36">
        <v>68</v>
      </c>
      <c r="B69" s="3" t="s">
        <v>16</v>
      </c>
      <c r="C69" s="4" t="str">
        <f>"0000500289"</f>
        <v>0000500289</v>
      </c>
      <c r="D69" s="5" t="str">
        <f>"Pattern classification and scene analysis / Richard O. Duda, Peter E. Hart.-- Wiley; c1973.-- (A Wiley-Interscience publication)."</f>
        <v>Pattern classification and scene analysis / Richard O. Duda, Peter E. Hart.-- Wiley; c1973.-- (A Wiley-Interscience publication).</v>
      </c>
      <c r="E69" s="5" t="str">
        <f>""</f>
        <v/>
      </c>
      <c r="F69" s="26"/>
      <c r="G69" s="27" t="str">
        <f>"007.1/DU"</f>
        <v>007.1/DU</v>
      </c>
      <c r="H69" s="4" t="str">
        <f>"1994/11/17"</f>
        <v>1994/11/17</v>
      </c>
      <c r="I69" s="6">
        <v>16046</v>
      </c>
      <c r="J69" s="8">
        <v>500</v>
      </c>
      <c r="K69" s="4" t="str">
        <f t="shared" si="2"/>
        <v>2  洋書</v>
      </c>
      <c r="L69" s="7"/>
    </row>
    <row r="70" spans="1:12" ht="36" x14ac:dyDescent="0.15">
      <c r="A70" s="36">
        <v>69</v>
      </c>
      <c r="B70" s="3" t="s">
        <v>16</v>
      </c>
      <c r="C70" s="4" t="str">
        <f>"0002256689"</f>
        <v>0002256689</v>
      </c>
      <c r="D70" s="5" t="str">
        <f>"Three-dimensional computer vision : a geometric viewpoint / Olivier Faugeras.-- MIT Press; c1993.-- (The MIT Press series in artificial intelligence)."</f>
        <v>Three-dimensional computer vision : a geometric viewpoint / Olivier Faugeras.-- MIT Press; c1993.-- (The MIT Press series in artificial intelligence).</v>
      </c>
      <c r="E70" s="5" t="str">
        <f>""</f>
        <v/>
      </c>
      <c r="F70" s="26"/>
      <c r="G70" s="27" t="str">
        <f>"007.1/FA"</f>
        <v>007.1/FA</v>
      </c>
      <c r="H70" s="4" t="str">
        <f>"2000/07/06"</f>
        <v>2000/07/06</v>
      </c>
      <c r="I70" s="6">
        <v>12932</v>
      </c>
      <c r="J70" s="8">
        <v>500</v>
      </c>
      <c r="K70" s="4" t="str">
        <f t="shared" si="2"/>
        <v>2  洋書</v>
      </c>
      <c r="L70" s="7"/>
    </row>
    <row r="71" spans="1:12" ht="24" x14ac:dyDescent="0.15">
      <c r="A71" s="36">
        <v>70</v>
      </c>
      <c r="B71" s="3" t="s">
        <v>16</v>
      </c>
      <c r="C71" s="10" t="str">
        <f>"0002265537"</f>
        <v>0002265537</v>
      </c>
      <c r="D71" s="11" t="str">
        <f>"Multi-agent systems : an introduction to distributed artificial intelligence / Jacques Ferber.-- Addison-Wesley; 1999."</f>
        <v>Multi-agent systems : an introduction to distributed artificial intelligence / Jacques Ferber.-- Addison-Wesley; 1999.</v>
      </c>
      <c r="E71" s="11" t="str">
        <f>""</f>
        <v/>
      </c>
      <c r="F71" s="28" t="s">
        <v>8</v>
      </c>
      <c r="G71" s="29" t="str">
        <f>"007.1/FE"</f>
        <v>007.1/FE</v>
      </c>
      <c r="H71" s="10" t="str">
        <f>"2001/03/19"</f>
        <v>2001/03/19</v>
      </c>
      <c r="I71" s="12">
        <v>7512</v>
      </c>
      <c r="J71" s="12">
        <v>100</v>
      </c>
      <c r="K71" s="10" t="str">
        <f t="shared" si="2"/>
        <v>2  洋書</v>
      </c>
      <c r="L71" s="13"/>
    </row>
    <row r="72" spans="1:12" ht="36" x14ac:dyDescent="0.15">
      <c r="A72" s="36">
        <v>71</v>
      </c>
      <c r="B72" s="3" t="s">
        <v>16</v>
      </c>
      <c r="C72" s="4" t="str">
        <f>"0001275056"</f>
        <v>0001275056</v>
      </c>
      <c r="D72" s="5" t="str">
        <f>"The robot's dilemma revisited : the frame problem in artificial intelligence / edited by Kenneth M. Ford &amp; Zenon W. Pylyshyn ; : cloth, : pbk.-- Ablex Pub.; c1996.-- (Theoretical issues in cognitive science)."</f>
        <v>The robot's dilemma revisited : the frame problem in artificial intelligence / edited by Kenneth M. Ford &amp; Zenon W. Pylyshyn ; : cloth, : pbk.-- Ablex Pub.; c1996.-- (Theoretical issues in cognitive science).</v>
      </c>
      <c r="E72" s="5" t="str">
        <f>": pbk"</f>
        <v>: pbk</v>
      </c>
      <c r="F72" s="26"/>
      <c r="G72" s="27" t="str">
        <f>"007.1/FO"</f>
        <v>007.1/FO</v>
      </c>
      <c r="H72" s="4" t="str">
        <f>"1996/08/05"</f>
        <v>1996/08/05</v>
      </c>
      <c r="I72" s="6">
        <v>3466</v>
      </c>
      <c r="J72" s="6">
        <v>100</v>
      </c>
      <c r="K72" s="4" t="str">
        <f t="shared" si="2"/>
        <v>2  洋書</v>
      </c>
      <c r="L72" s="7"/>
    </row>
    <row r="73" spans="1:12" ht="36" x14ac:dyDescent="0.15">
      <c r="A73" s="36">
        <v>72</v>
      </c>
      <c r="B73" s="3" t="s">
        <v>16</v>
      </c>
      <c r="C73" s="4" t="str">
        <f>"0001678444"</f>
        <v>0001678444</v>
      </c>
      <c r="D73" s="5" t="str">
        <f>"Introduction to statistical pattern recognition / Keinosuke Fukunaga.-- 2nd ed.-- Academic Press; c1990.-- (Computer science and scientific computing)."</f>
        <v>Introduction to statistical pattern recognition / Keinosuke Fukunaga.-- 2nd ed.-- Academic Press; c1990.-- (Computer science and scientific computing).</v>
      </c>
      <c r="E73" s="5" t="str">
        <f>""</f>
        <v/>
      </c>
      <c r="F73" s="26"/>
      <c r="G73" s="27" t="str">
        <f>"007.1/FU"</f>
        <v>007.1/FU</v>
      </c>
      <c r="H73" s="4" t="str">
        <f>"1998/09/03"</f>
        <v>1998/09/03</v>
      </c>
      <c r="I73" s="6">
        <v>16016</v>
      </c>
      <c r="J73" s="8">
        <v>500</v>
      </c>
      <c r="K73" s="4" t="str">
        <f t="shared" si="2"/>
        <v>2  洋書</v>
      </c>
      <c r="L73" s="7"/>
    </row>
    <row r="74" spans="1:12" ht="36" x14ac:dyDescent="0.15">
      <c r="A74" s="36">
        <v>73</v>
      </c>
      <c r="B74" s="3" t="s">
        <v>16</v>
      </c>
      <c r="C74" s="4" t="str">
        <f>"0002252346"</f>
        <v>0002252346</v>
      </c>
      <c r="D74" s="5" t="str">
        <f>"Self-organising neural networks : independent component analysis and blind source separation / Mark Girolami.-- Springer; c1999.-- (Perspectives in neural computing)."</f>
        <v>Self-organising neural networks : independent component analysis and blind source separation / Mark Girolami.-- Springer; c1999.-- (Perspectives in neural computing).</v>
      </c>
      <c r="E74" s="5" t="str">
        <f>""</f>
        <v/>
      </c>
      <c r="F74" s="26"/>
      <c r="G74" s="27" t="str">
        <f>"007.1/GI"</f>
        <v>007.1/GI</v>
      </c>
      <c r="H74" s="4" t="str">
        <f>"2000/02/03"</f>
        <v>2000/02/03</v>
      </c>
      <c r="I74" s="6">
        <v>9108</v>
      </c>
      <c r="J74" s="6">
        <v>100</v>
      </c>
      <c r="K74" s="4" t="str">
        <f t="shared" si="2"/>
        <v>2  洋書</v>
      </c>
      <c r="L74" s="7"/>
    </row>
    <row r="75" spans="1:12" ht="36" x14ac:dyDescent="0.15">
      <c r="A75" s="36">
        <v>74</v>
      </c>
      <c r="B75" s="3" t="s">
        <v>16</v>
      </c>
      <c r="C75" s="10" t="str">
        <f>"0001277081"</f>
        <v>0001277081</v>
      </c>
      <c r="D75" s="11" t="str">
        <f>"Multimedia programming : objects, environments, and frameworks / Simon J. Gibbs, Dionysios C. Tsichritzis ; : pbk.-- ACM Press.-- (ACM Press books)."</f>
        <v>Multimedia programming : objects, environments, and frameworks / Simon J. Gibbs, Dionysios C. Tsichritzis ; : pbk.-- ACM Press.-- (ACM Press books).</v>
      </c>
      <c r="E75" s="11" t="str">
        <f>": pbk"</f>
        <v>: pbk</v>
      </c>
      <c r="F75" s="28" t="s">
        <v>8</v>
      </c>
      <c r="G75" s="29" t="str">
        <f>"007.1/GI"</f>
        <v>007.1/GI</v>
      </c>
      <c r="H75" s="10" t="str">
        <f>"1996/10/15"</f>
        <v>1996/10/15</v>
      </c>
      <c r="I75" s="12">
        <v>5061</v>
      </c>
      <c r="J75" s="12">
        <v>100</v>
      </c>
      <c r="K75" s="10" t="str">
        <f t="shared" si="2"/>
        <v>2  洋書</v>
      </c>
      <c r="L75" s="13"/>
    </row>
    <row r="76" spans="1:12" ht="36" x14ac:dyDescent="0.15">
      <c r="A76" s="36">
        <v>75</v>
      </c>
      <c r="B76" s="3" t="s">
        <v>16</v>
      </c>
      <c r="C76" s="4" t="str">
        <f>"0002277776"</f>
        <v>0002277776</v>
      </c>
      <c r="D76" s="5" t="str">
        <f>"The elements of statistical learning : data mining, inference, and prediction / Trevor Hastie, Robert Tibshirani, Jerome Friedman.-- Springer; c2001.-- (Springer series in statistics)."</f>
        <v>The elements of statistical learning : data mining, inference, and prediction / Trevor Hastie, Robert Tibshirani, Jerome Friedman.-- Springer; c2001.-- (Springer series in statistics).</v>
      </c>
      <c r="E76" s="5" t="str">
        <f>""</f>
        <v/>
      </c>
      <c r="F76" s="26"/>
      <c r="G76" s="27" t="str">
        <f>"007.1/HA"</f>
        <v>007.1/HA</v>
      </c>
      <c r="H76" s="4" t="str">
        <f>"2002/01/08"</f>
        <v>2002/01/08</v>
      </c>
      <c r="I76" s="6">
        <v>13296</v>
      </c>
      <c r="J76" s="8">
        <v>500</v>
      </c>
      <c r="K76" s="4" t="str">
        <f t="shared" si="2"/>
        <v>2  洋書</v>
      </c>
      <c r="L76" s="7"/>
    </row>
    <row r="77" spans="1:12" ht="24" x14ac:dyDescent="0.15">
      <c r="A77" s="36">
        <v>76</v>
      </c>
      <c r="B77" s="3" t="s">
        <v>16</v>
      </c>
      <c r="C77" s="4" t="str">
        <f>"0002754253"</f>
        <v>0002754253</v>
      </c>
      <c r="D77" s="5" t="str">
        <f>"Multiple view geometry in computer vision / Richard Hartley, Andrew Zisserman ; : pbk.-- 2nd ed.-- Cambridge University Press; 2003."</f>
        <v>Multiple view geometry in computer vision / Richard Hartley, Andrew Zisserman ; : pbk.-- 2nd ed.-- Cambridge University Press; 2003.</v>
      </c>
      <c r="E77" s="5" t="str">
        <f>": pbk"</f>
        <v>: pbk</v>
      </c>
      <c r="F77" s="26"/>
      <c r="G77" s="27" t="str">
        <f>"007.1/HA"</f>
        <v>007.1/HA</v>
      </c>
      <c r="H77" s="4" t="str">
        <f>"2004/06/01"</f>
        <v>2004/06/01</v>
      </c>
      <c r="I77" s="6">
        <v>12625</v>
      </c>
      <c r="J77" s="8">
        <v>500</v>
      </c>
      <c r="K77" s="4" t="str">
        <f t="shared" si="2"/>
        <v>2  洋書</v>
      </c>
      <c r="L77" s="7"/>
    </row>
    <row r="78" spans="1:12" ht="48" x14ac:dyDescent="0.15">
      <c r="A78" s="36">
        <v>77</v>
      </c>
      <c r="B78" s="3" t="s">
        <v>16</v>
      </c>
      <c r="C78" s="10" t="str">
        <f>"0000862578"</f>
        <v>0000862578</v>
      </c>
      <c r="D78" s="11" t="s">
        <v>9</v>
      </c>
      <c r="E78" s="11" t="str">
        <f>""</f>
        <v/>
      </c>
      <c r="F78" s="28" t="s">
        <v>8</v>
      </c>
      <c r="G78" s="29" t="str">
        <f>"007.1/HA/1"</f>
        <v>007.1/HA/1</v>
      </c>
      <c r="H78" s="10" t="str">
        <f>"1995/07/21"</f>
        <v>1995/07/21</v>
      </c>
      <c r="I78" s="12">
        <v>12792</v>
      </c>
      <c r="J78" s="14">
        <v>500</v>
      </c>
      <c r="K78" s="10" t="str">
        <f t="shared" si="2"/>
        <v>2  洋書</v>
      </c>
      <c r="L78" s="13"/>
    </row>
    <row r="79" spans="1:12" ht="60" x14ac:dyDescent="0.15">
      <c r="A79" s="36">
        <v>78</v>
      </c>
      <c r="B79" s="3" t="s">
        <v>16</v>
      </c>
      <c r="C79" s="10" t="str">
        <f>"0000837903"</f>
        <v>0000837903</v>
      </c>
      <c r="D79" s="11" t="s">
        <v>10</v>
      </c>
      <c r="E79" s="11" t="str">
        <f>""</f>
        <v/>
      </c>
      <c r="F79" s="28" t="s">
        <v>8</v>
      </c>
      <c r="G79" s="29" t="str">
        <f>"007.1/HA/2"</f>
        <v>007.1/HA/2</v>
      </c>
      <c r="H79" s="10" t="str">
        <f>"1995/05/23"</f>
        <v>1995/05/23</v>
      </c>
      <c r="I79" s="12">
        <v>11726</v>
      </c>
      <c r="J79" s="14">
        <v>500</v>
      </c>
      <c r="K79" s="10" t="str">
        <f t="shared" si="2"/>
        <v>2  洋書</v>
      </c>
      <c r="L79" s="13"/>
    </row>
    <row r="80" spans="1:12" ht="60" x14ac:dyDescent="0.15">
      <c r="A80" s="36">
        <v>79</v>
      </c>
      <c r="B80" s="3" t="s">
        <v>16</v>
      </c>
      <c r="C80" s="10" t="str">
        <f>"0000862585"</f>
        <v>0000862585</v>
      </c>
      <c r="D80" s="11" t="s">
        <v>11</v>
      </c>
      <c r="E80" s="11" t="str">
        <f>""</f>
        <v/>
      </c>
      <c r="F80" s="28" t="s">
        <v>8</v>
      </c>
      <c r="G80" s="29" t="str">
        <f>"007.1/HA/3"</f>
        <v>007.1/HA/3</v>
      </c>
      <c r="H80" s="10" t="str">
        <f>"1995/07/21"</f>
        <v>1995/07/21</v>
      </c>
      <c r="I80" s="12">
        <v>12792</v>
      </c>
      <c r="J80" s="14">
        <v>500</v>
      </c>
      <c r="K80" s="10" t="str">
        <f t="shared" si="2"/>
        <v>2  洋書</v>
      </c>
      <c r="L80" s="13"/>
    </row>
    <row r="81" spans="1:12" ht="60" x14ac:dyDescent="0.15">
      <c r="A81" s="36">
        <v>80</v>
      </c>
      <c r="B81" s="3" t="s">
        <v>16</v>
      </c>
      <c r="C81" s="10" t="str">
        <f>"0000886864"</f>
        <v>0000886864</v>
      </c>
      <c r="D81" s="11" t="s">
        <v>12</v>
      </c>
      <c r="E81" s="11" t="str">
        <f>""</f>
        <v/>
      </c>
      <c r="F81" s="28" t="s">
        <v>8</v>
      </c>
      <c r="G81" s="29" t="str">
        <f>"007.1/HA/4"</f>
        <v>007.1/HA/4</v>
      </c>
      <c r="H81" s="10" t="str">
        <f>"1995/12/19"</f>
        <v>1995/12/19</v>
      </c>
      <c r="I81" s="12">
        <v>14155</v>
      </c>
      <c r="J81" s="14">
        <v>500</v>
      </c>
      <c r="K81" s="10" t="str">
        <f t="shared" si="2"/>
        <v>2  洋書</v>
      </c>
      <c r="L81" s="13"/>
    </row>
    <row r="82" spans="1:12" ht="36" x14ac:dyDescent="0.15">
      <c r="A82" s="36">
        <v>81</v>
      </c>
      <c r="B82" s="3" t="s">
        <v>16</v>
      </c>
      <c r="C82" s="4" t="str">
        <f>"0001670387"</f>
        <v>0001670387</v>
      </c>
      <c r="D82" s="5" t="str">
        <f>"Logical structures for representation of knowledge and uncertainty / Ellen Hisdal.-- Physica-Verlag; c1998.-- (Studies in fuzziness and soft computing ; vol. 14)."</f>
        <v>Logical structures for representation of knowledge and uncertainty / Ellen Hisdal.-- Physica-Verlag; c1998.-- (Studies in fuzziness and soft computing ; vol. 14).</v>
      </c>
      <c r="E82" s="5" t="str">
        <f>""</f>
        <v/>
      </c>
      <c r="F82" s="26"/>
      <c r="G82" s="27" t="str">
        <f>"007.1/HI"</f>
        <v>007.1/HI</v>
      </c>
      <c r="H82" s="4" t="str">
        <f>"1998/04/13"</f>
        <v>1998/04/13</v>
      </c>
      <c r="I82" s="6">
        <v>16986</v>
      </c>
      <c r="J82" s="8">
        <v>500</v>
      </c>
      <c r="K82" s="4" t="str">
        <f t="shared" si="2"/>
        <v>2  洋書</v>
      </c>
      <c r="L82" s="7"/>
    </row>
    <row r="83" spans="1:12" ht="36" x14ac:dyDescent="0.15">
      <c r="A83" s="36">
        <v>82</v>
      </c>
      <c r="B83" s="3" t="s">
        <v>16</v>
      </c>
      <c r="C83" s="4" t="str">
        <f>"0001281255"</f>
        <v>0001281255</v>
      </c>
      <c r="D83" s="5" t="str">
        <f>"Human machine symbiosis : the foundations of human-centred systems design / Karamjit S. Gill (ed.) ; : us, : gw.-- Springer; c1996.-- (Human-centred systems)."</f>
        <v>Human machine symbiosis : the foundations of human-centred systems design / Karamjit S. Gill (ed.) ; : us, : gw.-- Springer; c1996.-- (Human-centred systems).</v>
      </c>
      <c r="E83" s="5" t="str">
        <f>": gw"</f>
        <v>: gw</v>
      </c>
      <c r="F83" s="26"/>
      <c r="G83" s="27" t="str">
        <f>"007.1/HU"</f>
        <v>007.1/HU</v>
      </c>
      <c r="H83" s="4" t="str">
        <f>"1996/12/10"</f>
        <v>1996/12/10</v>
      </c>
      <c r="I83" s="6">
        <v>10085</v>
      </c>
      <c r="J83" s="8">
        <v>500</v>
      </c>
      <c r="K83" s="4" t="str">
        <f t="shared" si="2"/>
        <v>2  洋書</v>
      </c>
      <c r="L83" s="7"/>
    </row>
    <row r="84" spans="1:12" ht="36" x14ac:dyDescent="0.15">
      <c r="A84" s="36">
        <v>83</v>
      </c>
      <c r="B84" s="3" t="s">
        <v>16</v>
      </c>
      <c r="C84" s="4" t="str">
        <f>"0002754512"</f>
        <v>0002754512</v>
      </c>
      <c r="D84" s="5" t="str">
        <f>"Independent component analysis / Aapo Hyv◆U00E4◆rinen, Juha Karhunen, Erkki Oja.-- Wiley; c2001.-- (A Wiley-Interscience publication)."</f>
        <v>Independent component analysis / Aapo Hyv◆U00E4◆rinen, Juha Karhunen, Erkki Oja.-- Wiley; c2001.-- (A Wiley-Interscience publication).</v>
      </c>
      <c r="E84" s="5" t="str">
        <f>""</f>
        <v/>
      </c>
      <c r="F84" s="26"/>
      <c r="G84" s="27" t="str">
        <f>"007.1/HY"</f>
        <v>007.1/HY</v>
      </c>
      <c r="H84" s="4" t="str">
        <f>"2004/06/21"</f>
        <v>2004/06/21</v>
      </c>
      <c r="I84" s="6">
        <v>17671</v>
      </c>
      <c r="J84" s="8">
        <v>500</v>
      </c>
      <c r="K84" s="4" t="str">
        <f t="shared" si="2"/>
        <v>2  洋書</v>
      </c>
      <c r="L84" s="7"/>
    </row>
    <row r="85" spans="1:12" ht="36" x14ac:dyDescent="0.15">
      <c r="A85" s="36">
        <v>84</v>
      </c>
      <c r="B85" s="3" t="s">
        <v>16</v>
      </c>
      <c r="C85" s="4" t="str">
        <f>"0001284720"</f>
        <v>0001284720</v>
      </c>
      <c r="D85" s="5" t="str">
        <f>"Theory and grounding representations / edited by Paul Mc Kevitt.-- Kluwer Academic Publishers; c1996.-- (Integration of natural language and vision processing ; v. 3)."</f>
        <v>Theory and grounding representations / edited by Paul Mc Kevitt.-- Kluwer Academic Publishers; c1996.-- (Integration of natural language and vision processing ; v. 3).</v>
      </c>
      <c r="E85" s="5" t="str">
        <f>""</f>
        <v/>
      </c>
      <c r="F85" s="26"/>
      <c r="G85" s="27" t="str">
        <f>"007.1/IN/3"</f>
        <v>007.1/IN/3</v>
      </c>
      <c r="H85" s="4" t="str">
        <f>"1997/02/10"</f>
        <v>1997/02/10</v>
      </c>
      <c r="I85" s="6">
        <v>13070</v>
      </c>
      <c r="J85" s="8">
        <v>500</v>
      </c>
      <c r="K85" s="4" t="str">
        <f t="shared" si="2"/>
        <v>2  洋書</v>
      </c>
      <c r="L85" s="7"/>
    </row>
    <row r="86" spans="1:12" ht="24" x14ac:dyDescent="0.15">
      <c r="A86" s="36">
        <v>85</v>
      </c>
      <c r="B86" s="3" t="s">
        <v>16</v>
      </c>
      <c r="C86" s="4" t="str">
        <f>"0002768762"</f>
        <v>0002768762</v>
      </c>
      <c r="D86" s="5" t="str">
        <f>"Statistical methods for speech recognition / Frederick Jelinek.-- MIT Press; c1997.-- (Language, speech, and communication)."</f>
        <v>Statistical methods for speech recognition / Frederick Jelinek.-- MIT Press; c1997.-- (Language, speech, and communication).</v>
      </c>
      <c r="E86" s="5" t="str">
        <f>""</f>
        <v/>
      </c>
      <c r="F86" s="26"/>
      <c r="G86" s="27" t="str">
        <f>"007.1/JE"</f>
        <v>007.1/JE</v>
      </c>
      <c r="H86" s="4" t="str">
        <f>"2007/01/17"</f>
        <v>2007/01/17</v>
      </c>
      <c r="I86" s="6">
        <v>8694</v>
      </c>
      <c r="J86" s="6">
        <v>100</v>
      </c>
      <c r="K86" s="4" t="str">
        <f t="shared" si="2"/>
        <v>2  洋書</v>
      </c>
      <c r="L86" s="7"/>
    </row>
    <row r="87" spans="1:12" ht="36" x14ac:dyDescent="0.15">
      <c r="A87" s="36">
        <v>86</v>
      </c>
      <c r="B87" s="3" t="s">
        <v>16</v>
      </c>
      <c r="C87" s="4" t="str">
        <f>"0000886727"</f>
        <v>0000886727</v>
      </c>
      <c r="D87" s="5" t="str">
        <f>"Search in artificial intelligence / Laveen Kanal, Vipin Kumar, editors ; : us, : gw.-- Springer-Verlag; c1988.-- (Symbolic computation ; . Artificial intelligence)."</f>
        <v>Search in artificial intelligence / Laveen Kanal, Vipin Kumar, editors ; : us, : gw.-- Springer-Verlag; c1988.-- (Symbolic computation ; . Artificial intelligence).</v>
      </c>
      <c r="E87" s="5" t="str">
        <f>": us"</f>
        <v>: us</v>
      </c>
      <c r="F87" s="26"/>
      <c r="G87" s="27" t="str">
        <f>"007.1/KA"</f>
        <v>007.1/KA</v>
      </c>
      <c r="H87" s="4" t="str">
        <f>"1995/12/07"</f>
        <v>1995/12/07</v>
      </c>
      <c r="I87" s="6">
        <v>9733</v>
      </c>
      <c r="J87" s="6">
        <v>100</v>
      </c>
      <c r="K87" s="4" t="str">
        <f t="shared" si="2"/>
        <v>2  洋書</v>
      </c>
      <c r="L87" s="7"/>
    </row>
    <row r="88" spans="1:12" ht="36" x14ac:dyDescent="0.15">
      <c r="A88" s="36">
        <v>87</v>
      </c>
      <c r="B88" s="3" t="s">
        <v>16</v>
      </c>
      <c r="C88" s="4" t="str">
        <f>"0001275315"</f>
        <v>0001275315</v>
      </c>
      <c r="D88" s="5" t="str">
        <f>"Statistical optimization for geometric computation : theory and practice / Kenichi Kanatani.-- Elsevier; c1996.-- (Machine intelligence and pattern recognition ; 18)."</f>
        <v>Statistical optimization for geometric computation : theory and practice / Kenichi Kanatani.-- Elsevier; c1996.-- (Machine intelligence and pattern recognition ; 18).</v>
      </c>
      <c r="E88" s="5" t="str">
        <f>""</f>
        <v/>
      </c>
      <c r="F88" s="26"/>
      <c r="G88" s="27" t="str">
        <f>"007.1/KA"</f>
        <v>007.1/KA</v>
      </c>
      <c r="H88" s="4" t="str">
        <f>"1996/08/28"</f>
        <v>1996/08/28</v>
      </c>
      <c r="I88" s="6">
        <v>29223</v>
      </c>
      <c r="J88" s="8">
        <v>1000</v>
      </c>
      <c r="K88" s="4" t="str">
        <f t="shared" si="2"/>
        <v>2  洋書</v>
      </c>
      <c r="L88" s="7"/>
    </row>
    <row r="89" spans="1:12" ht="24" x14ac:dyDescent="0.15">
      <c r="A89" s="36">
        <v>88</v>
      </c>
      <c r="B89" s="3" t="s">
        <v>16</v>
      </c>
      <c r="C89" s="4" t="str">
        <f>"0001276220"</f>
        <v>0001276220</v>
      </c>
      <c r="D89" s="5" t="str">
        <f>"Recent advances in reinforcement learning / edited by Leslie Pack Kaelbling ; : pbk.-- Kluwer Academic; c1996."</f>
        <v>Recent advances in reinforcement learning / edited by Leslie Pack Kaelbling ; : pbk.-- Kluwer Academic; c1996.</v>
      </c>
      <c r="E89" s="5" t="str">
        <f>""</f>
        <v/>
      </c>
      <c r="F89" s="26"/>
      <c r="G89" s="27" t="str">
        <f>"007.1/KA"</f>
        <v>007.1/KA</v>
      </c>
      <c r="H89" s="4" t="str">
        <f>"1996/09/27"</f>
        <v>1996/09/27</v>
      </c>
      <c r="I89" s="6">
        <v>11513</v>
      </c>
      <c r="J89" s="8">
        <v>500</v>
      </c>
      <c r="K89" s="4" t="str">
        <f t="shared" si="2"/>
        <v>2  洋書</v>
      </c>
      <c r="L89" s="7"/>
    </row>
    <row r="90" spans="1:12" ht="36" x14ac:dyDescent="0.15">
      <c r="A90" s="36">
        <v>89</v>
      </c>
      <c r="B90" s="3" t="s">
        <v>16</v>
      </c>
      <c r="C90" s="4" t="str">
        <f>"0002261263"</f>
        <v>0002261263</v>
      </c>
      <c r="D90" s="5" t="str">
        <f>"Statistical optimization for geometric computation : theory and practice / Kenichi Kanatani.-- Elsevier; c1996.-- (Machine intelligence and pattern recognition ; 18)."</f>
        <v>Statistical optimization for geometric computation : theory and practice / Kenichi Kanatani.-- Elsevier; c1996.-- (Machine intelligence and pattern recognition ; 18).</v>
      </c>
      <c r="E90" s="5" t="str">
        <f>""</f>
        <v/>
      </c>
      <c r="F90" s="26"/>
      <c r="G90" s="27" t="str">
        <f>"007.1/KA"</f>
        <v>007.1/KA</v>
      </c>
      <c r="H90" s="4" t="str">
        <f>"2000/11/22"</f>
        <v>2000/11/22</v>
      </c>
      <c r="I90" s="6">
        <v>20619</v>
      </c>
      <c r="J90" s="8">
        <v>1000</v>
      </c>
      <c r="K90" s="4" t="str">
        <f t="shared" si="2"/>
        <v>2  洋書</v>
      </c>
      <c r="L90" s="7"/>
    </row>
    <row r="91" spans="1:12" ht="24" x14ac:dyDescent="0.15">
      <c r="A91" s="36">
        <v>90</v>
      </c>
      <c r="B91" s="3" t="s">
        <v>16</v>
      </c>
      <c r="C91" s="4" t="str">
        <f>"0000870016"</f>
        <v>0000870016</v>
      </c>
      <c r="D91" s="5" t="str">
        <f>"An introduction to computational learning theory / Michael J. Kearns, Umesh V. Vazirani.-- MIT Press; c1994."</f>
        <v>An introduction to computational learning theory / Michael J. Kearns, Umesh V. Vazirani.-- MIT Press; c1994.</v>
      </c>
      <c r="E91" s="5" t="str">
        <f>""</f>
        <v/>
      </c>
      <c r="F91" s="26"/>
      <c r="G91" s="27" t="str">
        <f>"007.1/KE"</f>
        <v>007.1/KE</v>
      </c>
      <c r="H91" s="4" t="str">
        <f>"1995/08/23"</f>
        <v>1995/08/23</v>
      </c>
      <c r="I91" s="6">
        <v>5061</v>
      </c>
      <c r="J91" s="6">
        <v>100</v>
      </c>
      <c r="K91" s="4" t="str">
        <f t="shared" si="2"/>
        <v>2  洋書</v>
      </c>
      <c r="L91" s="7"/>
    </row>
    <row r="92" spans="1:12" ht="48" x14ac:dyDescent="0.15">
      <c r="A92" s="36">
        <v>91</v>
      </c>
      <c r="B92" s="3" t="s">
        <v>16</v>
      </c>
      <c r="C92" s="4" t="str">
        <f>"0000850803"</f>
        <v>0000850803</v>
      </c>
      <c r="D92" s="5" t="str">
        <f>"Learning and coordination : enhancing agent performance through distributed decision making / by Steven H. Kim.-- Kluwer Academic; c1994.-- (International series on microprocessor-based and intelligent systems engineering ; v. 13)."</f>
        <v>Learning and coordination : enhancing agent performance through distributed decision making / by Steven H. Kim.-- Kluwer Academic; c1994.-- (International series on microprocessor-based and intelligent systems engineering ; v. 13).</v>
      </c>
      <c r="E92" s="5" t="str">
        <f>""</f>
        <v/>
      </c>
      <c r="F92" s="26"/>
      <c r="G92" s="27" t="str">
        <f>"007.1/KI"</f>
        <v>007.1/KI</v>
      </c>
      <c r="H92" s="4" t="str">
        <f>"1995/06/02"</f>
        <v>1995/06/02</v>
      </c>
      <c r="I92" s="6">
        <v>14571</v>
      </c>
      <c r="J92" s="8">
        <v>500</v>
      </c>
      <c r="K92" s="4" t="str">
        <f t="shared" si="2"/>
        <v>2  洋書</v>
      </c>
      <c r="L92" s="7"/>
    </row>
    <row r="93" spans="1:12" ht="36" x14ac:dyDescent="0.15">
      <c r="A93" s="36">
        <v>92</v>
      </c>
      <c r="B93" s="3" t="s">
        <v>16</v>
      </c>
      <c r="C93" s="4" t="str">
        <f>"0001692839"</f>
        <v>0001692839</v>
      </c>
      <c r="D93" s="5" t="str">
        <f>"Intelligent information agents : agent-based information discovery and management on the Internet / Matthias Klusch (ed.).-- Springer-Verlag; c1999."</f>
        <v>Intelligent information agents : agent-based information discovery and management on the Internet / Matthias Klusch (ed.).-- Springer-Verlag; c1999.</v>
      </c>
      <c r="E93" s="5" t="str">
        <f>""</f>
        <v/>
      </c>
      <c r="F93" s="26"/>
      <c r="G93" s="27" t="str">
        <f>"007.1/KL"</f>
        <v>007.1/KL</v>
      </c>
      <c r="H93" s="4" t="str">
        <f>"1999/05/17"</f>
        <v>1999/05/17</v>
      </c>
      <c r="I93" s="6">
        <v>7938</v>
      </c>
      <c r="J93" s="6">
        <v>100</v>
      </c>
      <c r="K93" s="4" t="str">
        <f t="shared" si="2"/>
        <v>2  洋書</v>
      </c>
      <c r="L93" s="7"/>
    </row>
    <row r="94" spans="1:12" ht="24" x14ac:dyDescent="0.15">
      <c r="A94" s="36">
        <v>93</v>
      </c>
      <c r="B94" s="3" t="s">
        <v>16</v>
      </c>
      <c r="C94" s="4" t="str">
        <f>"0001292510"</f>
        <v>0001292510</v>
      </c>
      <c r="D94" s="5" t="str">
        <f>"Self-organizing maps / Teuvo Kohonen ; : pbk.-- 2nd ed.-- Springer; c1997.-- (Springer series in information sciences ; 30)."</f>
        <v>Self-organizing maps / Teuvo Kohonen ; : pbk.-- 2nd ed.-- Springer; c1997.-- (Springer series in information sciences ; 30).</v>
      </c>
      <c r="E94" s="5" t="str">
        <f>": pbk"</f>
        <v>: pbk</v>
      </c>
      <c r="F94" s="26"/>
      <c r="G94" s="27" t="str">
        <f>"007.1/KO"</f>
        <v>007.1/KO</v>
      </c>
      <c r="H94" s="4" t="str">
        <f>"1997/06/04"</f>
        <v>1997/06/04</v>
      </c>
      <c r="I94" s="6">
        <v>8287</v>
      </c>
      <c r="J94" s="6">
        <v>100</v>
      </c>
      <c r="K94" s="4" t="str">
        <f t="shared" si="2"/>
        <v>2  洋書</v>
      </c>
      <c r="L94" s="7"/>
    </row>
    <row r="95" spans="1:12" ht="36" x14ac:dyDescent="0.15">
      <c r="A95" s="36">
        <v>94</v>
      </c>
      <c r="B95" s="3" t="s">
        <v>16</v>
      </c>
      <c r="C95" s="4" t="str">
        <f>"0001276251"</f>
        <v>0001276251</v>
      </c>
      <c r="D95" s="5" t="str">
        <f>"Exploratory vision : the active eye / Michale S. Landy, Laurence T. Maloney, Misha Pavel, editors.-- Springer; c1996.-- (Springer series in perception engineering)."</f>
        <v>Exploratory vision : the active eye / Michale S. Landy, Laurence T. Maloney, Misha Pavel, editors.-- Springer; c1996.-- (Springer series in perception engineering).</v>
      </c>
      <c r="E95" s="5" t="str">
        <f>""</f>
        <v/>
      </c>
      <c r="F95" s="26"/>
      <c r="G95" s="27" t="str">
        <f>"007.1/LA"</f>
        <v>007.1/LA</v>
      </c>
      <c r="H95" s="4" t="str">
        <f>"1996/09/27"</f>
        <v>1996/09/27</v>
      </c>
      <c r="I95" s="6">
        <v>7657</v>
      </c>
      <c r="J95" s="6">
        <v>100</v>
      </c>
      <c r="K95" s="4" t="str">
        <f t="shared" si="2"/>
        <v>2  洋書</v>
      </c>
      <c r="L95" s="7"/>
    </row>
    <row r="96" spans="1:12" ht="36" x14ac:dyDescent="0.15">
      <c r="A96" s="36">
        <v>95</v>
      </c>
      <c r="B96" s="3" t="s">
        <v>16</v>
      </c>
      <c r="C96" s="4" t="str">
        <f>"0001698411"</f>
        <v>0001698411</v>
      </c>
      <c r="D96" s="5" t="str">
        <f>"Elements of machine learning / Pat Langley.-- Morgan Kaufmann Publishers; c1996.-- (The Morgan Kaufmann series in machine learning)."</f>
        <v>Elements of machine learning / Pat Langley.-- Morgan Kaufmann Publishers; c1996.-- (The Morgan Kaufmann series in machine learning).</v>
      </c>
      <c r="E96" s="5" t="str">
        <f>""</f>
        <v/>
      </c>
      <c r="F96" s="26"/>
      <c r="G96" s="27" t="str">
        <f>"007.1/LA"</f>
        <v>007.1/LA</v>
      </c>
      <c r="H96" s="4" t="str">
        <f>"1999/10/19"</f>
        <v>1999/10/19</v>
      </c>
      <c r="I96" s="6">
        <v>11359</v>
      </c>
      <c r="J96" s="8">
        <v>500</v>
      </c>
      <c r="K96" s="4" t="str">
        <f t="shared" si="2"/>
        <v>2  洋書</v>
      </c>
      <c r="L96" s="7"/>
    </row>
    <row r="97" spans="1:12" ht="36" x14ac:dyDescent="0.15">
      <c r="A97" s="36">
        <v>96</v>
      </c>
      <c r="B97" s="3" t="s">
        <v>16</v>
      </c>
      <c r="C97" s="10" t="str">
        <f>"0001263176"</f>
        <v>0001263176</v>
      </c>
      <c r="D97" s="11" t="str">
        <f>"Algorithms and complexity / edited by Jan van Leeuwen ; : Elsevier, : MIT Press.-- Elsevier.-- (Handbook of theoretical computer science / editor, Jan van Leeuwen ; v. A)."</f>
        <v>Algorithms and complexity / edited by Jan van Leeuwen ; : Elsevier, : MIT Press.-- Elsevier.-- (Handbook of theoretical computer science / editor, Jan van Leeuwen ; v. A).</v>
      </c>
      <c r="E97" s="11" t="str">
        <f>": MIT Press"</f>
        <v>: MIT Press</v>
      </c>
      <c r="F97" s="28" t="s">
        <v>8</v>
      </c>
      <c r="G97" s="29" t="str">
        <f>"007.1/LE/1"</f>
        <v>007.1/LE/1</v>
      </c>
      <c r="H97" s="10" t="str">
        <f>"1996/02/21"</f>
        <v>1996/02/21</v>
      </c>
      <c r="I97" s="12">
        <v>27115</v>
      </c>
      <c r="J97" s="14">
        <v>1000</v>
      </c>
      <c r="K97" s="10" t="str">
        <f t="shared" si="2"/>
        <v>2  洋書</v>
      </c>
      <c r="L97" s="13"/>
    </row>
    <row r="98" spans="1:12" ht="24" x14ac:dyDescent="0.15">
      <c r="A98" s="36">
        <v>97</v>
      </c>
      <c r="B98" s="3" t="s">
        <v>16</v>
      </c>
      <c r="C98" s="4" t="str">
        <f>"0001674002"</f>
        <v>0001674002</v>
      </c>
      <c r="D98" s="5" t="str">
        <f>"Machine learning / Tom M. Mitchell.-- McGraw-Hill; c1997.-- (McGraw-Hill computer science series ; Artificial intelligence)."</f>
        <v>Machine learning / Tom M. Mitchell.-- McGraw-Hill; c1997.-- (McGraw-Hill computer science series ; Artificial intelligence).</v>
      </c>
      <c r="E98" s="5" t="str">
        <f>""</f>
        <v/>
      </c>
      <c r="F98" s="26"/>
      <c r="G98" s="27" t="str">
        <f>"007.1/MI"</f>
        <v>007.1/MI</v>
      </c>
      <c r="H98" s="4" t="str">
        <f>"1998/06/19"</f>
        <v>1998/06/19</v>
      </c>
      <c r="I98" s="6">
        <v>14080</v>
      </c>
      <c r="J98" s="8">
        <v>500</v>
      </c>
      <c r="K98" s="4" t="str">
        <f t="shared" si="2"/>
        <v>2  洋書</v>
      </c>
      <c r="L98" s="7"/>
    </row>
    <row r="99" spans="1:12" ht="36" x14ac:dyDescent="0.15">
      <c r="A99" s="36">
        <v>98</v>
      </c>
      <c r="B99" s="3" t="s">
        <v>16</v>
      </c>
      <c r="C99" s="4" t="str">
        <f>"0000495929"</f>
        <v>0000495929</v>
      </c>
      <c r="D99" s="5" t="str">
        <f>"Geometric invariance in computer vision / edited by Joseph L. Mundy and Andrew Zisserman.-- MIT Press; c1992.-- (The MIT Press series in artificial intelligence)."</f>
        <v>Geometric invariance in computer vision / edited by Joseph L. Mundy and Andrew Zisserman.-- MIT Press; c1992.-- (The MIT Press series in artificial intelligence).</v>
      </c>
      <c r="E99" s="5" t="str">
        <f>""</f>
        <v/>
      </c>
      <c r="F99" s="26"/>
      <c r="G99" s="27" t="str">
        <f>"007.1/MU"</f>
        <v>007.1/MU</v>
      </c>
      <c r="H99" s="4" t="str">
        <f>"1994/10/21"</f>
        <v>1994/10/21</v>
      </c>
      <c r="I99" s="6">
        <v>11096</v>
      </c>
      <c r="J99" s="8">
        <v>500</v>
      </c>
      <c r="K99" s="4" t="str">
        <f t="shared" si="2"/>
        <v>2  洋書</v>
      </c>
      <c r="L99" s="7"/>
    </row>
    <row r="100" spans="1:12" ht="24" x14ac:dyDescent="0.15">
      <c r="A100" s="36">
        <v>99</v>
      </c>
      <c r="B100" s="3" t="s">
        <v>16</v>
      </c>
      <c r="C100" s="4" t="str">
        <f>"0001272086"</f>
        <v>0001272086</v>
      </c>
      <c r="D100" s="5" t="str">
        <f>"Early visual learning / edited by Shree K. Nayar and Tomaso Poggio.-- Oxford University Press; 1996."</f>
        <v>Early visual learning / edited by Shree K. Nayar and Tomaso Poggio.-- Oxford University Press; 1996.</v>
      </c>
      <c r="E100" s="5" t="str">
        <f>""</f>
        <v/>
      </c>
      <c r="F100" s="26"/>
      <c r="G100" s="27" t="str">
        <f>"007.1/NA"</f>
        <v>007.1/NA</v>
      </c>
      <c r="H100" s="4" t="str">
        <f>"1996/06/27"</f>
        <v>1996/06/27</v>
      </c>
      <c r="I100" s="6">
        <v>5784</v>
      </c>
      <c r="J100" s="6">
        <v>100</v>
      </c>
      <c r="K100" s="4" t="str">
        <f t="shared" si="2"/>
        <v>2  洋書</v>
      </c>
      <c r="L100" s="7"/>
    </row>
    <row r="101" spans="1:12" ht="36" x14ac:dyDescent="0.15">
      <c r="A101" s="36">
        <v>100</v>
      </c>
      <c r="B101" s="3" t="s">
        <v>16</v>
      </c>
      <c r="C101" s="4" t="str">
        <f>"0001292626"</f>
        <v>0001292626</v>
      </c>
      <c r="D101" s="5" t="str">
        <f>"Machine learning and statistics : the interface / edited by G. Nakhaeizadeh, C. C. Taylor.-- Wiley; c1997.-- (Sixth-generation computer technology series)."</f>
        <v>Machine learning and statistics : the interface / edited by G. Nakhaeizadeh, C. C. Taylor.-- Wiley; c1997.-- (Sixth-generation computer technology series).</v>
      </c>
      <c r="E101" s="5" t="str">
        <f>""</f>
        <v/>
      </c>
      <c r="F101" s="26"/>
      <c r="G101" s="27" t="str">
        <f>"007.1/NA"</f>
        <v>007.1/NA</v>
      </c>
      <c r="H101" s="4" t="str">
        <f>"1997/06/13"</f>
        <v>1997/06/13</v>
      </c>
      <c r="I101" s="6">
        <v>15790</v>
      </c>
      <c r="J101" s="8">
        <v>500</v>
      </c>
      <c r="K101" s="4" t="str">
        <f t="shared" si="2"/>
        <v>2  洋書</v>
      </c>
      <c r="L101" s="7"/>
    </row>
    <row r="102" spans="1:12" ht="24" x14ac:dyDescent="0.15">
      <c r="A102" s="36">
        <v>101</v>
      </c>
      <c r="B102" s="3" t="s">
        <v>16</v>
      </c>
      <c r="C102" s="4" t="str">
        <f>"0002763019"</f>
        <v>0002763019</v>
      </c>
      <c r="D102" s="5" t="str">
        <f>"NETLAB : algorithms for pattern recognition / Ian T. Nabney.-- Springer-Verlag; c2002.-- (Advances in pattern recognition)."</f>
        <v>NETLAB : algorithms for pattern recognition / Ian T. Nabney.-- Springer-Verlag; c2002.-- (Advances in pattern recognition).</v>
      </c>
      <c r="E102" s="5" t="str">
        <f>""</f>
        <v/>
      </c>
      <c r="F102" s="26"/>
      <c r="G102" s="27" t="str">
        <f>"007.1/NA"</f>
        <v>007.1/NA</v>
      </c>
      <c r="H102" s="4" t="str">
        <f>"2005/11/21"</f>
        <v>2005/11/21</v>
      </c>
      <c r="I102" s="6">
        <v>8943</v>
      </c>
      <c r="J102" s="6">
        <v>100</v>
      </c>
      <c r="K102" s="4" t="str">
        <f t="shared" si="2"/>
        <v>2  洋書</v>
      </c>
      <c r="L102" s="7"/>
    </row>
    <row r="103" spans="1:12" ht="36" x14ac:dyDescent="0.15">
      <c r="A103" s="36">
        <v>102</v>
      </c>
      <c r="B103" s="3" t="s">
        <v>16</v>
      </c>
      <c r="C103" s="4" t="str">
        <f>"0001268003"</f>
        <v>0001268003</v>
      </c>
      <c r="D103" s="5" t="str">
        <f>"Foundations of distributed artificial intelligence / edited by G.M.P. O'Hare and N.R. Jennings.-- Wiley; c1996.-- (Sixth-generation computer technology series)."</f>
        <v>Foundations of distributed artificial intelligence / edited by G.M.P. O'Hare and N.R. Jennings.-- Wiley; c1996.-- (Sixth-generation computer technology series).</v>
      </c>
      <c r="E103" s="5" t="str">
        <f>""</f>
        <v/>
      </c>
      <c r="F103" s="26"/>
      <c r="G103" s="27" t="str">
        <f>"007.1/OH"</f>
        <v>007.1/OH</v>
      </c>
      <c r="H103" s="4" t="str">
        <f>"1996/05/13"</f>
        <v>1996/05/13</v>
      </c>
      <c r="I103" s="6">
        <v>12799</v>
      </c>
      <c r="J103" s="8">
        <v>500</v>
      </c>
      <c r="K103" s="4" t="str">
        <f t="shared" si="2"/>
        <v>2  洋書</v>
      </c>
      <c r="L103" s="7"/>
    </row>
    <row r="104" spans="1:12" ht="48" x14ac:dyDescent="0.15">
      <c r="A104" s="36">
        <v>103</v>
      </c>
      <c r="B104" s="3" t="s">
        <v>16</v>
      </c>
      <c r="C104" s="4" t="str">
        <f>"0001277029"</f>
        <v>0001277029</v>
      </c>
      <c r="D104" s="5" t="s">
        <v>20</v>
      </c>
      <c r="E104" s="5" t="str">
        <f>""</f>
        <v/>
      </c>
      <c r="F104" s="26"/>
      <c r="G104" s="27" t="str">
        <f>"007.1/RE"</f>
        <v>007.1/RE</v>
      </c>
      <c r="H104" s="4" t="str">
        <f>"1996/10/15"</f>
        <v>1996/10/15</v>
      </c>
      <c r="I104" s="6">
        <v>15406</v>
      </c>
      <c r="J104" s="8">
        <v>500</v>
      </c>
      <c r="K104" s="4" t="str">
        <f t="shared" si="2"/>
        <v>2  洋書</v>
      </c>
      <c r="L104" s="7"/>
    </row>
    <row r="105" spans="1:12" ht="24" x14ac:dyDescent="0.15">
      <c r="A105" s="36">
        <v>104</v>
      </c>
      <c r="B105" s="3" t="s">
        <v>16</v>
      </c>
      <c r="C105" s="4" t="str">
        <f>"0001292374"</f>
        <v>0001292374</v>
      </c>
      <c r="D105" s="5" t="str">
        <f>"Artificial intelligence / Elaine Rich, Kevin Knight ; ordering use.-- 2nd ed.-- McGraw-Hill; c1991."</f>
        <v>Artificial intelligence / Elaine Rich, Kevin Knight ; ordering use.-- 2nd ed.-- McGraw-Hill; c1991.</v>
      </c>
      <c r="E105" s="5" t="str">
        <f>""</f>
        <v/>
      </c>
      <c r="F105" s="26"/>
      <c r="G105" s="27" t="str">
        <f>"007.1/RI"</f>
        <v>007.1/RI</v>
      </c>
      <c r="H105" s="4" t="str">
        <f>"1997/05/29"</f>
        <v>1997/05/29</v>
      </c>
      <c r="I105" s="6">
        <v>13410</v>
      </c>
      <c r="J105" s="8">
        <v>500</v>
      </c>
      <c r="K105" s="4" t="str">
        <f t="shared" si="2"/>
        <v>2  洋書</v>
      </c>
      <c r="L105" s="7"/>
    </row>
    <row r="106" spans="1:12" ht="24" x14ac:dyDescent="0.15">
      <c r="A106" s="36">
        <v>105</v>
      </c>
      <c r="B106" s="3" t="s">
        <v>16</v>
      </c>
      <c r="C106" s="4" t="str">
        <f>"0001698176"</f>
        <v>0001698176</v>
      </c>
      <c r="D106" s="5" t="str">
        <f>"Artificial intelligence / Elaine Rich, Kevin Knight ; ordering use.-- 2nd ed.-- McGraw-Hill; c1991."</f>
        <v>Artificial intelligence / Elaine Rich, Kevin Knight ; ordering use.-- 2nd ed.-- McGraw-Hill; c1991.</v>
      </c>
      <c r="E106" s="5" t="str">
        <f>""</f>
        <v/>
      </c>
      <c r="F106" s="26"/>
      <c r="G106" s="27" t="str">
        <f>"007.1/RI"</f>
        <v>007.1/RI</v>
      </c>
      <c r="H106" s="4" t="str">
        <f>"1999/10/06"</f>
        <v>1999/10/06</v>
      </c>
      <c r="I106" s="6">
        <v>13670</v>
      </c>
      <c r="J106" s="8">
        <v>500</v>
      </c>
      <c r="K106" s="4" t="str">
        <f t="shared" si="2"/>
        <v>2  洋書</v>
      </c>
      <c r="L106" s="7"/>
    </row>
    <row r="107" spans="1:12" ht="48" x14ac:dyDescent="0.15">
      <c r="A107" s="36">
        <v>106</v>
      </c>
      <c r="B107" s="3" t="s">
        <v>16</v>
      </c>
      <c r="C107" s="4" t="str">
        <f>"0001288544"</f>
        <v>0001288544</v>
      </c>
      <c r="D107" s="5" t="str">
        <f>"Neural network training using genetic algorithms / A.J.F. van Rooij, L.C. Jain, R.P. Johnson.-- World Scientific; c1996.-- (Series in machine perception and artificial intelligence / editors, H. Bunke, P.S.P. Wang ; vol. 26)."</f>
        <v>Neural network training using genetic algorithms / A.J.F. van Rooij, L.C. Jain, R.P. Johnson.-- World Scientific; c1996.-- (Series in machine perception and artificial intelligence / editors, H. Bunke, P.S.P. Wang ; vol. 26).</v>
      </c>
      <c r="E107" s="5" t="str">
        <f>""</f>
        <v/>
      </c>
      <c r="F107" s="26"/>
      <c r="G107" s="27" t="str">
        <f>"007.1/RO"</f>
        <v>007.1/RO</v>
      </c>
      <c r="H107" s="4" t="str">
        <f>"1997/04/11"</f>
        <v>1997/04/11</v>
      </c>
      <c r="I107" s="6">
        <v>4063</v>
      </c>
      <c r="J107" s="6">
        <v>100</v>
      </c>
      <c r="K107" s="4" t="str">
        <f t="shared" si="2"/>
        <v>2  洋書</v>
      </c>
      <c r="L107" s="7"/>
    </row>
    <row r="108" spans="1:12" ht="36" x14ac:dyDescent="0.15">
      <c r="A108" s="36">
        <v>107</v>
      </c>
      <c r="B108" s="3" t="s">
        <v>16</v>
      </c>
      <c r="C108" s="4" t="str">
        <f>"0000891790"</f>
        <v>0000891790</v>
      </c>
      <c r="D108" s="5" t="str">
        <f>"Artificial intelligence : a modern approach / Stuart J. Russell, and Peter Norvig ; : uk, : us, Prentice Hall international editions.-- Prentice Hall; c1995.-- (Prentice Hall series in artificial intelligence)."</f>
        <v>Artificial intelligence : a modern approach / Stuart J. Russell, and Peter Norvig ; : uk, : us, Prentice Hall international editions.-- Prentice Hall; c1995.-- (Prentice Hall series in artificial intelligence).</v>
      </c>
      <c r="E108" s="5" t="str">
        <f>": us"</f>
        <v>: us</v>
      </c>
      <c r="F108" s="26"/>
      <c r="G108" s="27" t="str">
        <f>"007.1/RU"</f>
        <v>007.1/RU</v>
      </c>
      <c r="H108" s="4" t="str">
        <f>"1995/12/25"</f>
        <v>1995/12/25</v>
      </c>
      <c r="I108" s="6">
        <v>8470</v>
      </c>
      <c r="J108" s="6">
        <v>100</v>
      </c>
      <c r="K108" s="4" t="str">
        <f t="shared" si="2"/>
        <v>2  洋書</v>
      </c>
      <c r="L108" s="7"/>
    </row>
    <row r="109" spans="1:12" ht="36" x14ac:dyDescent="0.15">
      <c r="A109" s="36">
        <v>108</v>
      </c>
      <c r="B109" s="3" t="s">
        <v>16</v>
      </c>
      <c r="C109" s="4" t="str">
        <f>"0001260663"</f>
        <v>0001260663</v>
      </c>
      <c r="D109" s="5" t="str">
        <f>"Do the right thing : studies in limited rationality / Stuart Russell and Eric Wefald.-- MIT Press; c1991.-- (The MIT Press series in artificial intelligence)."</f>
        <v>Do the right thing : studies in limited rationality / Stuart Russell and Eric Wefald.-- MIT Press; c1991.-- (The MIT Press series in artificial intelligence).</v>
      </c>
      <c r="E109" s="5" t="str">
        <f>""</f>
        <v/>
      </c>
      <c r="F109" s="26"/>
      <c r="G109" s="27" t="str">
        <f>"007.1/RU"</f>
        <v>007.1/RU</v>
      </c>
      <c r="H109" s="4" t="str">
        <f>"1996/01/23"</f>
        <v>1996/01/23</v>
      </c>
      <c r="I109" s="6">
        <v>4971</v>
      </c>
      <c r="J109" s="6">
        <v>100</v>
      </c>
      <c r="K109" s="4" t="str">
        <f t="shared" si="2"/>
        <v>2  洋書</v>
      </c>
      <c r="L109" s="7"/>
    </row>
    <row r="110" spans="1:12" ht="36" x14ac:dyDescent="0.15">
      <c r="A110" s="36">
        <v>109</v>
      </c>
      <c r="B110" s="3" t="s">
        <v>16</v>
      </c>
      <c r="C110" s="4" t="str">
        <f>"0001271225"</f>
        <v>0001271225</v>
      </c>
      <c r="D110" s="5" t="str">
        <f>"Artificial intelligence : a modern approach / Stuart J. Russell, and Peter Norvig ; : uk, : us, Prentice Hall international editions.-- Prentice Hall; c1995.-- (Prentice Hall series in artificial intelligence)."</f>
        <v>Artificial intelligence : a modern approach / Stuart J. Russell, and Peter Norvig ; : uk, : us, Prentice Hall international editions.-- Prentice Hall; c1995.-- (Prentice Hall series in artificial intelligence).</v>
      </c>
      <c r="E110" s="5" t="str">
        <f>": us"</f>
        <v>: us</v>
      </c>
      <c r="F110" s="26"/>
      <c r="G110" s="27" t="str">
        <f>"007.1/RU"</f>
        <v>007.1/RU</v>
      </c>
      <c r="H110" s="4" t="str">
        <f>"1996/06/13"</f>
        <v>1996/06/13</v>
      </c>
      <c r="I110" s="6">
        <v>9062</v>
      </c>
      <c r="J110" s="6">
        <v>100</v>
      </c>
      <c r="K110" s="4" t="str">
        <f t="shared" si="2"/>
        <v>2  洋書</v>
      </c>
      <c r="L110" s="7"/>
    </row>
    <row r="111" spans="1:12" ht="36" x14ac:dyDescent="0.15">
      <c r="A111" s="36">
        <v>110</v>
      </c>
      <c r="B111" s="3" t="s">
        <v>16</v>
      </c>
      <c r="C111" s="4" t="str">
        <f>"0001291384"</f>
        <v>0001291384</v>
      </c>
      <c r="D111" s="5" t="str">
        <f>"Artificial intelligence : a modern approach / Stuart J. Russell, and Peter Norvig ; : uk, : us, Prentice Hall international editions.-- Prentice Hall; c1995.-- (Prentice Hall series in artificial intelligence)."</f>
        <v>Artificial intelligence : a modern approach / Stuart J. Russell, and Peter Norvig ; : uk, : us, Prentice Hall international editions.-- Prentice Hall; c1995.-- (Prentice Hall series in artificial intelligence).</v>
      </c>
      <c r="E111" s="5" t="str">
        <f>": us"</f>
        <v>: us</v>
      </c>
      <c r="F111" s="26"/>
      <c r="G111" s="27" t="str">
        <f>"007.1/RU"</f>
        <v>007.1/RU</v>
      </c>
      <c r="H111" s="4" t="str">
        <f>"1997/05/15"</f>
        <v>1997/05/15</v>
      </c>
      <c r="I111" s="6">
        <v>11252</v>
      </c>
      <c r="J111" s="8">
        <v>500</v>
      </c>
      <c r="K111" s="4" t="str">
        <f t="shared" si="2"/>
        <v>2  洋書</v>
      </c>
      <c r="L111" s="7"/>
    </row>
    <row r="112" spans="1:12" ht="36" x14ac:dyDescent="0.15">
      <c r="A112" s="36">
        <v>111</v>
      </c>
      <c r="B112" s="3" t="s">
        <v>16</v>
      </c>
      <c r="C112" s="4" t="str">
        <f>"0002270043"</f>
        <v>0002270043</v>
      </c>
      <c r="D112" s="5" t="str">
        <f>"Advances in kernel methods : support vector learning / edited by Bernhard Sch◆U00F6◆lkopf, Christopher J.C. Burges, Alexander J. Smola.-- MIT Press; c1999."</f>
        <v>Advances in kernel methods : support vector learning / edited by Bernhard Sch◆U00F6◆lkopf, Christopher J.C. Burges, Alexander J. Smola.-- MIT Press; c1999.</v>
      </c>
      <c r="E112" s="5" t="str">
        <f>""</f>
        <v/>
      </c>
      <c r="F112" s="26"/>
      <c r="G112" s="27" t="str">
        <f>"007.1/SC"</f>
        <v>007.1/SC</v>
      </c>
      <c r="H112" s="4" t="str">
        <f>"2001/07/17"</f>
        <v>2001/07/17</v>
      </c>
      <c r="I112" s="6">
        <v>9251</v>
      </c>
      <c r="J112" s="6">
        <v>100</v>
      </c>
      <c r="K112" s="4" t="str">
        <f t="shared" si="2"/>
        <v>2  洋書</v>
      </c>
      <c r="L112" s="7"/>
    </row>
    <row r="113" spans="1:12" ht="24" x14ac:dyDescent="0.15">
      <c r="A113" s="36">
        <v>112</v>
      </c>
      <c r="B113" s="3" t="s">
        <v>16</v>
      </c>
      <c r="C113" s="4" t="str">
        <f>"0001287677"</f>
        <v>0001287677</v>
      </c>
      <c r="D113" s="5" t="str">
        <f>"Semantic information processing / Marvin Minsky, editor ; :pb.-- MIT Press; c1968."</f>
        <v>Semantic information processing / Marvin Minsky, editor ; :pb.-- MIT Press; c1968.</v>
      </c>
      <c r="E113" s="5" t="str">
        <f>":pb"</f>
        <v>:pb</v>
      </c>
      <c r="F113" s="26"/>
      <c r="G113" s="27" t="str">
        <f>"007.1/SE"</f>
        <v>007.1/SE</v>
      </c>
      <c r="H113" s="4" t="str">
        <f>"1997/03/28"</f>
        <v>1997/03/28</v>
      </c>
      <c r="I113" s="6">
        <v>8793</v>
      </c>
      <c r="J113" s="6">
        <v>100</v>
      </c>
      <c r="K113" s="4" t="str">
        <f t="shared" si="2"/>
        <v>2  洋書</v>
      </c>
      <c r="L113" s="7"/>
    </row>
    <row r="114" spans="1:12" ht="24" x14ac:dyDescent="0.15">
      <c r="A114" s="36">
        <v>113</v>
      </c>
      <c r="B114" s="3" t="s">
        <v>16</v>
      </c>
      <c r="C114" s="4" t="str">
        <f>"0001679663"</f>
        <v>0001679663</v>
      </c>
      <c r="D114" s="5" t="str">
        <f>"Three-dimensional computer vision / Yoshiaki Shirai ; : us, : gw.-- Springer-Verlag; c1987.-- (Symbolic computation ; Computer graphics)."</f>
        <v>Three-dimensional computer vision / Yoshiaki Shirai ; : us, : gw.-- Springer-Verlag; c1987.-- (Symbolic computation ; Computer graphics).</v>
      </c>
      <c r="E114" s="5" t="str">
        <f>": us"</f>
        <v>: us</v>
      </c>
      <c r="F114" s="26"/>
      <c r="G114" s="27" t="str">
        <f>"007.1/SH"</f>
        <v>007.1/SH</v>
      </c>
      <c r="H114" s="4" t="str">
        <f>"1998/10/15"</f>
        <v>1998/10/15</v>
      </c>
      <c r="I114" s="6">
        <v>22075</v>
      </c>
      <c r="J114" s="8">
        <v>1000</v>
      </c>
      <c r="K114" s="4" t="str">
        <f t="shared" si="2"/>
        <v>2  洋書</v>
      </c>
      <c r="L114" s="7"/>
    </row>
    <row r="115" spans="1:12" ht="24" x14ac:dyDescent="0.15">
      <c r="A115" s="36">
        <v>114</v>
      </c>
      <c r="B115" s="3" t="s">
        <v>16</v>
      </c>
      <c r="C115" s="4" t="str">
        <f>"0002769172"</f>
        <v>0002769172</v>
      </c>
      <c r="D115" s="5" t="str">
        <f>"Computer vision / Linda G. Shapiro, George C. Stockman.-- Prentice Hall; c2001."</f>
        <v>Computer vision / Linda G. Shapiro, George C. Stockman.-- Prentice Hall; c2001.</v>
      </c>
      <c r="E115" s="5" t="str">
        <f>""</f>
        <v/>
      </c>
      <c r="F115" s="26"/>
      <c r="G115" s="27" t="str">
        <f>"007.1/SH"</f>
        <v>007.1/SH</v>
      </c>
      <c r="H115" s="4" t="str">
        <f>"2007/01/15"</f>
        <v>2007/01/15</v>
      </c>
      <c r="I115" s="6">
        <v>14959</v>
      </c>
      <c r="J115" s="8">
        <v>500</v>
      </c>
      <c r="K115" s="4" t="str">
        <f t="shared" si="2"/>
        <v>2  洋書</v>
      </c>
      <c r="L115" s="7"/>
    </row>
    <row r="116" spans="1:12" ht="36" x14ac:dyDescent="0.15">
      <c r="A116" s="36">
        <v>115</v>
      </c>
      <c r="B116" s="3" t="s">
        <v>16</v>
      </c>
      <c r="C116" s="4" t="str">
        <f>"0001671711"</f>
        <v>0001671711</v>
      </c>
      <c r="D116" s="5" t="str">
        <f>"Reinforcement learning : an introduction / Richard S. Sutton and Andrew G. Barto.-- MIT Press; c1998.-- (Adaptive computation and machine learning)."</f>
        <v>Reinforcement learning : an introduction / Richard S. Sutton and Andrew G. Barto.-- MIT Press; c1998.-- (Adaptive computation and machine learning).</v>
      </c>
      <c r="E116" s="5" t="str">
        <f>""</f>
        <v/>
      </c>
      <c r="F116" s="26"/>
      <c r="G116" s="27" t="str">
        <f>"007.1/SU"</f>
        <v>007.1/SU</v>
      </c>
      <c r="H116" s="4" t="str">
        <f>"1998/05/07"</f>
        <v>1998/05/07</v>
      </c>
      <c r="I116" s="6">
        <v>8656</v>
      </c>
      <c r="J116" s="6">
        <v>100</v>
      </c>
      <c r="K116" s="4" t="str">
        <f t="shared" ref="K116:K121" si="3">"2  洋書"</f>
        <v>2  洋書</v>
      </c>
      <c r="L116" s="7"/>
    </row>
    <row r="117" spans="1:12" ht="24" x14ac:dyDescent="0.15">
      <c r="A117" s="36">
        <v>116</v>
      </c>
      <c r="B117" s="3" t="s">
        <v>16</v>
      </c>
      <c r="C117" s="4" t="str">
        <f>"0001289886"</f>
        <v>0001289886</v>
      </c>
      <c r="D117" s="5" t="str">
        <f>"Symbolic visual learning / edited by Katsushi Ikeuchi and Manuela Veloso ; : hbk.-- Oxford University Press; 1997."</f>
        <v>Symbolic visual learning / edited by Katsushi Ikeuchi and Manuela Veloso ; : hbk.-- Oxford University Press; 1997.</v>
      </c>
      <c r="E117" s="5" t="str">
        <f>": hbk"</f>
        <v>: hbk</v>
      </c>
      <c r="F117" s="26"/>
      <c r="G117" s="27" t="str">
        <f>"007.1/SY"</f>
        <v>007.1/SY</v>
      </c>
      <c r="H117" s="4" t="str">
        <f>"1997/04/24"</f>
        <v>1997/04/24</v>
      </c>
      <c r="I117" s="6">
        <v>13182</v>
      </c>
      <c r="J117" s="8">
        <v>500</v>
      </c>
      <c r="K117" s="4" t="str">
        <f t="shared" si="3"/>
        <v>2  洋書</v>
      </c>
      <c r="L117" s="7"/>
    </row>
    <row r="118" spans="1:12" ht="24" x14ac:dyDescent="0.15">
      <c r="A118" s="36">
        <v>117</v>
      </c>
      <c r="B118" s="3" t="s">
        <v>16</v>
      </c>
      <c r="C118" s="4" t="str">
        <f>"0001290400"</f>
        <v>0001290400</v>
      </c>
      <c r="D118" s="5" t="str">
        <f>"Symbolic visual learning / edited by Katsushi Ikeuchi and Manuela Veloso ; : hbk.-- Oxford University Press; 1997."</f>
        <v>Symbolic visual learning / edited by Katsushi Ikeuchi and Manuela Veloso ; : hbk.-- Oxford University Press; 1997.</v>
      </c>
      <c r="E118" s="5" t="str">
        <f>": hbk"</f>
        <v>: hbk</v>
      </c>
      <c r="F118" s="26"/>
      <c r="G118" s="27" t="str">
        <f>"007.1/SY"</f>
        <v>007.1/SY</v>
      </c>
      <c r="H118" s="4" t="str">
        <f>"1997/05/06"</f>
        <v>1997/05/06</v>
      </c>
      <c r="I118" s="6">
        <v>13465</v>
      </c>
      <c r="J118" s="8">
        <v>500</v>
      </c>
      <c r="K118" s="4" t="str">
        <f t="shared" si="3"/>
        <v>2  洋書</v>
      </c>
      <c r="L118" s="7"/>
    </row>
    <row r="119" spans="1:12" ht="24" x14ac:dyDescent="0.15">
      <c r="A119" s="36">
        <v>118</v>
      </c>
      <c r="B119" s="3" t="s">
        <v>16</v>
      </c>
      <c r="C119" s="4" t="str">
        <f>"0000890397"</f>
        <v>0000890397</v>
      </c>
      <c r="D119" s="5" t="str">
        <f>"The nature of statistical learning theory / Vladimir N. Vapnik.-- Springer; c1995."</f>
        <v>The nature of statistical learning theory / Vladimir N. Vapnik.-- Springer; c1995.</v>
      </c>
      <c r="E119" s="5" t="str">
        <f>""</f>
        <v/>
      </c>
      <c r="F119" s="26"/>
      <c r="G119" s="27" t="str">
        <f>"007.1/VA"</f>
        <v>007.1/VA</v>
      </c>
      <c r="H119" s="4" t="str">
        <f>"1996/01/11"</f>
        <v>1996/01/11</v>
      </c>
      <c r="I119" s="6">
        <v>5691</v>
      </c>
      <c r="J119" s="6">
        <v>100</v>
      </c>
      <c r="K119" s="4" t="str">
        <f t="shared" si="3"/>
        <v>2  洋書</v>
      </c>
      <c r="L119" s="7"/>
    </row>
    <row r="120" spans="1:12" ht="24" x14ac:dyDescent="0.15">
      <c r="A120" s="36">
        <v>119</v>
      </c>
      <c r="B120" s="3" t="s">
        <v>16</v>
      </c>
      <c r="C120" s="4" t="str">
        <f>"0001277722"</f>
        <v>0001277722</v>
      </c>
      <c r="D120" s="5" t="str">
        <f>"Genetic algorithms in engineering and computer science / edited by G. Winter ... [et al.].-- Wiley; c1995."</f>
        <v>Genetic algorithms in engineering and computer science / edited by G. Winter ... [et al.].-- Wiley; c1995.</v>
      </c>
      <c r="E120" s="5" t="str">
        <f>""</f>
        <v/>
      </c>
      <c r="F120" s="26"/>
      <c r="G120" s="27" t="str">
        <f>"007.1/WI"</f>
        <v>007.1/WI</v>
      </c>
      <c r="H120" s="4" t="str">
        <f>"1996/10/16"</f>
        <v>1996/10/16</v>
      </c>
      <c r="I120" s="6">
        <v>11049</v>
      </c>
      <c r="J120" s="8">
        <v>500</v>
      </c>
      <c r="K120" s="4" t="str">
        <f t="shared" si="3"/>
        <v>2  洋書</v>
      </c>
      <c r="L120" s="7"/>
    </row>
    <row r="121" spans="1:12" ht="24" x14ac:dyDescent="0.15">
      <c r="A121" s="36">
        <v>120</v>
      </c>
      <c r="B121" s="3" t="s">
        <v>16</v>
      </c>
      <c r="C121" s="4" t="str">
        <f>"0001287981"</f>
        <v>0001287981</v>
      </c>
      <c r="D121" s="5" t="str">
        <f>"Artificial intelligence / Patrick Henry Winston ; : hard, : pbk..-- 3rd ed..-- Addison-Wesley Pub. Co.; c1992."</f>
        <v>Artificial intelligence / Patrick Henry Winston ; : hard, : pbk..-- 3rd ed..-- Addison-Wesley Pub. Co.; c1992.</v>
      </c>
      <c r="E121" s="5" t="str">
        <f>": hard"</f>
        <v>: hard</v>
      </c>
      <c r="F121" s="26"/>
      <c r="G121" s="27" t="str">
        <f>"007.1/WI"</f>
        <v>007.1/WI</v>
      </c>
      <c r="H121" s="4" t="str">
        <f>"1997/04/03"</f>
        <v>1997/04/03</v>
      </c>
      <c r="I121" s="6">
        <v>9481</v>
      </c>
      <c r="J121" s="6">
        <v>100</v>
      </c>
      <c r="K121" s="4" t="str">
        <f t="shared" si="3"/>
        <v>2  洋書</v>
      </c>
      <c r="L121" s="7"/>
    </row>
    <row r="122" spans="1:12" ht="24" x14ac:dyDescent="0.15">
      <c r="A122" s="36">
        <v>121</v>
      </c>
      <c r="B122" s="3" t="s">
        <v>16</v>
      </c>
      <c r="C122" s="4" t="str">
        <f>"0002172538"</f>
        <v>0002172538</v>
      </c>
      <c r="D122" s="5" t="str">
        <f>"IT2001 : なにが問題か / 林紘一郎, 牧野二郎, 村井純監修 ; [本冊], CD-ROM.-- 岩波書店; 2000.9."</f>
        <v>IT2001 : なにが問題か / 林紘一郎, 牧野二郎, 村井純監修 ; [本冊], CD-ROM.-- 岩波書店; 2000.9.</v>
      </c>
      <c r="E122" s="5" t="str">
        <f>"[本冊]"</f>
        <v>[本冊]</v>
      </c>
      <c r="F122" s="26"/>
      <c r="G122" s="27" t="str">
        <f>"007.3/ｱｲ"</f>
        <v>007.3/ｱｲ</v>
      </c>
      <c r="H122" s="4" t="str">
        <f>"2000/11/21"</f>
        <v>2000/11/21</v>
      </c>
      <c r="I122" s="6">
        <v>2268</v>
      </c>
      <c r="J122" s="6">
        <v>100</v>
      </c>
      <c r="K122" s="4" t="str">
        <f t="shared" si="1"/>
        <v>1  和書</v>
      </c>
      <c r="L122" s="7"/>
    </row>
    <row r="123" spans="1:12" x14ac:dyDescent="0.15">
      <c r="A123" s="36">
        <v>122</v>
      </c>
      <c r="B123" s="3" t="s">
        <v>16</v>
      </c>
      <c r="C123" s="4" t="str">
        <f>"0002651910"</f>
        <v>0002651910</v>
      </c>
      <c r="D123" s="5" t="str">
        <f>"ネットワーク組織論 / 今井賢一, 金子郁容著.-- 岩波書店; 1988.1."</f>
        <v>ネットワーク組織論 / 今井賢一, 金子郁容著.-- 岩波書店; 1988.1.</v>
      </c>
      <c r="E123" s="5" t="str">
        <f>""</f>
        <v/>
      </c>
      <c r="F123" s="26"/>
      <c r="G123" s="27" t="str">
        <f>"007.3/ｲﾏ"</f>
        <v>007.3/ｲﾏ</v>
      </c>
      <c r="H123" s="4" t="str">
        <f>"2003/12/22"</f>
        <v>2003/12/22</v>
      </c>
      <c r="I123" s="6">
        <v>1984</v>
      </c>
      <c r="J123" s="6">
        <v>100</v>
      </c>
      <c r="K123" s="4" t="str">
        <f t="shared" si="1"/>
        <v>1  和書</v>
      </c>
      <c r="L123" s="7"/>
    </row>
    <row r="124" spans="1:12" ht="24" x14ac:dyDescent="0.15">
      <c r="A124" s="36">
        <v>123</v>
      </c>
      <c r="B124" s="3" t="s">
        <v>16</v>
      </c>
      <c r="C124" s="4" t="str">
        <f>"0002933160"</f>
        <v>0002933160</v>
      </c>
      <c r="D124" s="5" t="str">
        <f>"ウェブ進化論 : 本当の大変化はこれから始まる / 梅田望夫著.-- 筑摩書房; 2006.2.-- (ちくま新書 ; 582)."</f>
        <v>ウェブ進化論 : 本当の大変化はこれから始まる / 梅田望夫著.-- 筑摩書房; 2006.2.-- (ちくま新書 ; 582).</v>
      </c>
      <c r="E124" s="5" t="str">
        <f>""</f>
        <v/>
      </c>
      <c r="F124" s="26"/>
      <c r="G124" s="27" t="str">
        <f>"007.3/ｳﾒ"</f>
        <v>007.3/ｳﾒ</v>
      </c>
      <c r="H124" s="4" t="str">
        <f>"2008/10/10"</f>
        <v>2008/10/10</v>
      </c>
      <c r="I124" s="6">
        <v>699</v>
      </c>
      <c r="J124" s="6">
        <v>100</v>
      </c>
      <c r="K124" s="4" t="str">
        <f t="shared" si="1"/>
        <v>1  和書</v>
      </c>
      <c r="L124" s="7"/>
    </row>
    <row r="125" spans="1:12" x14ac:dyDescent="0.15">
      <c r="A125" s="36">
        <v>124</v>
      </c>
      <c r="B125" s="3" t="s">
        <v>16</v>
      </c>
      <c r="C125" s="10" t="str">
        <f>"0002537269"</f>
        <v>0002537269</v>
      </c>
      <c r="D125" s="11" t="str">
        <f>"情報リテラシ / 佐藤章, 神沼靖子共著.-- 第3版.-- 共立出版; 2000.2."</f>
        <v>情報リテラシ / 佐藤章, 神沼靖子共著.-- 第3版.-- 共立出版; 2000.2.</v>
      </c>
      <c r="E125" s="11" t="str">
        <f>""</f>
        <v/>
      </c>
      <c r="F125" s="28" t="s">
        <v>8</v>
      </c>
      <c r="G125" s="29" t="str">
        <f>"007.3/ｻﾄ"</f>
        <v>007.3/ｻﾄ</v>
      </c>
      <c r="H125" s="10" t="str">
        <f>"2003/03/31"</f>
        <v>2003/03/31</v>
      </c>
      <c r="I125" s="12">
        <v>2211</v>
      </c>
      <c r="J125" s="12">
        <v>100</v>
      </c>
      <c r="K125" s="10" t="str">
        <f t="shared" si="1"/>
        <v>1  和書</v>
      </c>
      <c r="L125" s="13"/>
    </row>
    <row r="126" spans="1:12" ht="24" x14ac:dyDescent="0.15">
      <c r="A126" s="36">
        <v>125</v>
      </c>
      <c r="B126" s="3" t="s">
        <v>16</v>
      </c>
      <c r="C126" s="4" t="str">
        <f>"0000885935"</f>
        <v>0000885935</v>
      </c>
      <c r="D126" s="5" t="str">
        <f>"聖なるヴァーチャル・リアリティ : 情報システム社会論 / 西垣通著.-- 岩波書店; 1995.12.-- (21世紀問題群ブックス ; 23)."</f>
        <v>聖なるヴァーチャル・リアリティ : 情報システム社会論 / 西垣通著.-- 岩波書店; 1995.12.-- (21世紀問題群ブックス ; 23).</v>
      </c>
      <c r="E126" s="5" t="str">
        <f>""</f>
        <v/>
      </c>
      <c r="F126" s="26"/>
      <c r="G126" s="27" t="str">
        <f>"007.3/ﾆｼ"</f>
        <v>007.3/ﾆｼ</v>
      </c>
      <c r="H126" s="4" t="str">
        <f>"1995/12/15"</f>
        <v>1995/12/15</v>
      </c>
      <c r="I126" s="6">
        <v>1350</v>
      </c>
      <c r="J126" s="6">
        <v>100</v>
      </c>
      <c r="K126" s="4" t="str">
        <f t="shared" si="1"/>
        <v>1  和書</v>
      </c>
      <c r="L126" s="7"/>
    </row>
    <row r="127" spans="1:12" ht="24" x14ac:dyDescent="0.15">
      <c r="A127" s="36">
        <v>126</v>
      </c>
      <c r="B127" s="3" t="s">
        <v>16</v>
      </c>
      <c r="C127" s="4" t="str">
        <f>"0001277142"</f>
        <v>0001277142</v>
      </c>
      <c r="D127" s="5" t="str">
        <f>"聖なるヴァーチャル・リアリティ : 情報システム社会論 / 西垣通著.-- 岩波書店; 1995.12.-- (21世紀問題群ブックス ; 23)."</f>
        <v>聖なるヴァーチャル・リアリティ : 情報システム社会論 / 西垣通著.-- 岩波書店; 1995.12.-- (21世紀問題群ブックス ; 23).</v>
      </c>
      <c r="E127" s="5" t="str">
        <f>""</f>
        <v/>
      </c>
      <c r="F127" s="26"/>
      <c r="G127" s="27" t="str">
        <f>"007.3/ﾆｼ"</f>
        <v>007.3/ﾆｼ</v>
      </c>
      <c r="H127" s="4" t="str">
        <f>"1996/10/15"</f>
        <v>1996/10/15</v>
      </c>
      <c r="I127" s="6">
        <v>1350</v>
      </c>
      <c r="J127" s="6">
        <v>100</v>
      </c>
      <c r="K127" s="4" t="str">
        <f t="shared" si="1"/>
        <v>1  和書</v>
      </c>
      <c r="L127" s="7"/>
    </row>
    <row r="128" spans="1:12" ht="24" x14ac:dyDescent="0.15">
      <c r="A128" s="36">
        <v>127</v>
      </c>
      <c r="B128" s="3" t="s">
        <v>16</v>
      </c>
      <c r="C128" s="10" t="str">
        <f>"0002684666"</f>
        <v>0002684666</v>
      </c>
      <c r="D128" s="11" t="str">
        <f>"スマートモブズ : 「群がる」 モバイル族の挑戦 / ハワード・ラインゴールド著 ; 公文俊平, 会津泉監訳.-- NTT出版; 2003.8."</f>
        <v>スマートモブズ : 「群がる」 モバイル族の挑戦 / ハワード・ラインゴールド著 ; 公文俊平, 会津泉監訳.-- NTT出版; 2003.8.</v>
      </c>
      <c r="E128" s="11" t="str">
        <f>""</f>
        <v/>
      </c>
      <c r="F128" s="28" t="s">
        <v>8</v>
      </c>
      <c r="G128" s="29" t="str">
        <f>"007.3/ﾗｲ"</f>
        <v>007.3/ﾗｲ</v>
      </c>
      <c r="H128" s="10" t="str">
        <f>"2005/03/20"</f>
        <v>2005/03/20</v>
      </c>
      <c r="I128" s="12">
        <v>3402</v>
      </c>
      <c r="J128" s="12">
        <v>100</v>
      </c>
      <c r="K128" s="10" t="str">
        <f t="shared" si="1"/>
        <v>1  和書</v>
      </c>
      <c r="L128" s="13"/>
    </row>
    <row r="129" spans="1:12" x14ac:dyDescent="0.15">
      <c r="A129" s="36">
        <v>128</v>
      </c>
      <c r="B129" s="3" t="s">
        <v>16</v>
      </c>
      <c r="C129" s="10" t="str">
        <f>"0002876160"</f>
        <v>0002876160</v>
      </c>
      <c r="D129" s="11" t="str">
        <f>"学術情報流通とオープンアクセス / 倉田敬子著.-- 勁草書房; 2007.8."</f>
        <v>学術情報流通とオープンアクセス / 倉田敬子著.-- 勁草書房; 2007.8.</v>
      </c>
      <c r="E129" s="11" t="str">
        <f>""</f>
        <v/>
      </c>
      <c r="F129" s="28" t="s">
        <v>8</v>
      </c>
      <c r="G129" s="29" t="str">
        <f>"007.5/ｸﾗ"</f>
        <v>007.5/ｸﾗ</v>
      </c>
      <c r="H129" s="10" t="str">
        <f>"2008/02/15"</f>
        <v>2008/02/15</v>
      </c>
      <c r="I129" s="12">
        <v>2457</v>
      </c>
      <c r="J129" s="12">
        <v>100</v>
      </c>
      <c r="K129" s="10" t="str">
        <f t="shared" si="1"/>
        <v>1  和書</v>
      </c>
      <c r="L129" s="13"/>
    </row>
    <row r="130" spans="1:12" ht="24" x14ac:dyDescent="0.15">
      <c r="A130" s="36">
        <v>129</v>
      </c>
      <c r="B130" s="3" t="s">
        <v>16</v>
      </c>
      <c r="C130" s="4" t="str">
        <f>"0002293677"</f>
        <v>0002293677</v>
      </c>
      <c r="D130" s="5" t="str">
        <f>"コンピュータシステムの基礎 / アイテック情報技術教育研究所編著.-- 第11版.-- アイテック情報処理技術者教育センター; 2002.3."</f>
        <v>コンピュータシステムの基礎 / アイテック情報技術教育研究所編著.-- 第11版.-- アイテック情報処理技術者教育センター; 2002.3.</v>
      </c>
      <c r="E130" s="5" t="str">
        <f>""</f>
        <v/>
      </c>
      <c r="F130" s="26"/>
      <c r="G130" s="27" t="str">
        <f>"007.6/ｱｲ"</f>
        <v>007.6/ｱｲ</v>
      </c>
      <c r="H130" s="4" t="str">
        <f>"2003/04/24"</f>
        <v>2003/04/24</v>
      </c>
      <c r="I130" s="6">
        <v>3780</v>
      </c>
      <c r="J130" s="6">
        <v>100</v>
      </c>
      <c r="K130" s="4" t="str">
        <f t="shared" ref="K130:K193" si="4">"1  和書"</f>
        <v>1  和書</v>
      </c>
      <c r="L130" s="7"/>
    </row>
    <row r="131" spans="1:12" ht="24" x14ac:dyDescent="0.15">
      <c r="A131" s="36">
        <v>130</v>
      </c>
      <c r="B131" s="3" t="s">
        <v>16</v>
      </c>
      <c r="C131" s="4" t="str">
        <f>"0000878937"</f>
        <v>0000878937</v>
      </c>
      <c r="D131" s="5" t="str">
        <f>"ニューラルネットワーク情報処理 : コネクショニズム入門、あるいは柔らかな記号に向けて / 麻生英樹著.-- 産業図書; 1988.6."</f>
        <v>ニューラルネットワーク情報処理 : コネクショニズム入門、あるいは柔らかな記号に向けて / 麻生英樹著.-- 産業図書; 1988.6.</v>
      </c>
      <c r="E131" s="5" t="str">
        <f>""</f>
        <v/>
      </c>
      <c r="F131" s="26"/>
      <c r="G131" s="27" t="str">
        <f>"007.6/ｱｿ"</f>
        <v>007.6/ｱｿ</v>
      </c>
      <c r="H131" s="4" t="str">
        <f>"1995/10/28"</f>
        <v>1995/10/28</v>
      </c>
      <c r="I131" s="6">
        <v>2039</v>
      </c>
      <c r="J131" s="6">
        <v>100</v>
      </c>
      <c r="K131" s="4" t="str">
        <f t="shared" si="4"/>
        <v>1  和書</v>
      </c>
      <c r="L131" s="7"/>
    </row>
    <row r="132" spans="1:12" ht="36" x14ac:dyDescent="0.15">
      <c r="A132" s="36">
        <v>131</v>
      </c>
      <c r="B132" s="3" t="s">
        <v>16</v>
      </c>
      <c r="C132" s="10" t="str">
        <f>"0002294988"</f>
        <v>0002294988</v>
      </c>
      <c r="D132" s="11" t="str">
        <f t="shared" ref="D132:D188" si="5">"実践Linux : Red Hat Linuxを使ってLinuxの基礎を学ぶ / 市村匠, 青山正人, 中村学著 ; 基礎導入編, サーバ構築・管理編, ネットワーク・セキュリティー編.-- セレンディップ."</f>
        <v>実践Linux : Red Hat Linuxを使ってLinuxの基礎を学ぶ / 市村匠, 青山正人, 中村学著 ; 基礎導入編, サーバ構築・管理編, ネットワーク・セキュリティー編.-- セレンディップ.</v>
      </c>
      <c r="E132" s="11" t="str">
        <f t="shared" ref="E132:E188" si="6">"基礎導入編"</f>
        <v>基礎導入編</v>
      </c>
      <c r="F132" s="28" t="s">
        <v>8</v>
      </c>
      <c r="G132" s="29" t="str">
        <f t="shared" ref="G132:G195" si="7">"007.6/ｲﾁ"</f>
        <v>007.6/ｲﾁ</v>
      </c>
      <c r="H132" s="10" t="str">
        <f t="shared" ref="H132:H188" si="8">"2003/06/12"</f>
        <v>2003/06/12</v>
      </c>
      <c r="I132" s="12">
        <v>2646</v>
      </c>
      <c r="J132" s="12">
        <v>100</v>
      </c>
      <c r="K132" s="10" t="str">
        <f t="shared" si="4"/>
        <v>1  和書</v>
      </c>
      <c r="L132" s="13"/>
    </row>
    <row r="133" spans="1:12" ht="36" x14ac:dyDescent="0.15">
      <c r="A133" s="36">
        <v>132</v>
      </c>
      <c r="B133" s="3" t="s">
        <v>16</v>
      </c>
      <c r="C133" s="10" t="str">
        <f>"0002295008"</f>
        <v>0002295008</v>
      </c>
      <c r="D133" s="11" t="str">
        <f t="shared" si="5"/>
        <v>実践Linux : Red Hat Linuxを使ってLinuxの基礎を学ぶ / 市村匠, 青山正人, 中村学著 ; 基礎導入編, サーバ構築・管理編, ネットワーク・セキュリティー編.-- セレンディップ.</v>
      </c>
      <c r="E133" s="11" t="str">
        <f t="shared" si="6"/>
        <v>基礎導入編</v>
      </c>
      <c r="F133" s="28" t="s">
        <v>8</v>
      </c>
      <c r="G133" s="29" t="str">
        <f t="shared" si="7"/>
        <v>007.6/ｲﾁ</v>
      </c>
      <c r="H133" s="10" t="str">
        <f t="shared" si="8"/>
        <v>2003/06/12</v>
      </c>
      <c r="I133" s="12">
        <v>2646</v>
      </c>
      <c r="J133" s="12">
        <v>100</v>
      </c>
      <c r="K133" s="10" t="str">
        <f t="shared" si="4"/>
        <v>1  和書</v>
      </c>
      <c r="L133" s="13"/>
    </row>
    <row r="134" spans="1:12" ht="36" x14ac:dyDescent="0.15">
      <c r="A134" s="36">
        <v>133</v>
      </c>
      <c r="B134" s="3" t="s">
        <v>16</v>
      </c>
      <c r="C134" s="10" t="str">
        <f>"0002295015"</f>
        <v>0002295015</v>
      </c>
      <c r="D134" s="11" t="str">
        <f t="shared" si="5"/>
        <v>実践Linux : Red Hat Linuxを使ってLinuxの基礎を学ぶ / 市村匠, 青山正人, 中村学著 ; 基礎導入編, サーバ構築・管理編, ネットワーク・セキュリティー編.-- セレンディップ.</v>
      </c>
      <c r="E134" s="11" t="str">
        <f t="shared" si="6"/>
        <v>基礎導入編</v>
      </c>
      <c r="F134" s="28" t="s">
        <v>8</v>
      </c>
      <c r="G134" s="29" t="str">
        <f t="shared" si="7"/>
        <v>007.6/ｲﾁ</v>
      </c>
      <c r="H134" s="10" t="str">
        <f t="shared" si="8"/>
        <v>2003/06/12</v>
      </c>
      <c r="I134" s="12">
        <v>2646</v>
      </c>
      <c r="J134" s="12">
        <v>100</v>
      </c>
      <c r="K134" s="10" t="str">
        <f t="shared" si="4"/>
        <v>1  和書</v>
      </c>
      <c r="L134" s="13"/>
    </row>
    <row r="135" spans="1:12" ht="36" x14ac:dyDescent="0.15">
      <c r="A135" s="36">
        <v>134</v>
      </c>
      <c r="B135" s="3" t="s">
        <v>16</v>
      </c>
      <c r="C135" s="10" t="str">
        <f>"0002295022"</f>
        <v>0002295022</v>
      </c>
      <c r="D135" s="11" t="str">
        <f t="shared" si="5"/>
        <v>実践Linux : Red Hat Linuxを使ってLinuxの基礎を学ぶ / 市村匠, 青山正人, 中村学著 ; 基礎導入編, サーバ構築・管理編, ネットワーク・セキュリティー編.-- セレンディップ.</v>
      </c>
      <c r="E135" s="11" t="str">
        <f t="shared" si="6"/>
        <v>基礎導入編</v>
      </c>
      <c r="F135" s="28" t="s">
        <v>8</v>
      </c>
      <c r="G135" s="29" t="str">
        <f t="shared" si="7"/>
        <v>007.6/ｲﾁ</v>
      </c>
      <c r="H135" s="10" t="str">
        <f t="shared" si="8"/>
        <v>2003/06/12</v>
      </c>
      <c r="I135" s="12">
        <v>2646</v>
      </c>
      <c r="J135" s="12">
        <v>100</v>
      </c>
      <c r="K135" s="10" t="str">
        <f t="shared" si="4"/>
        <v>1  和書</v>
      </c>
      <c r="L135" s="13"/>
    </row>
    <row r="136" spans="1:12" ht="36" x14ac:dyDescent="0.15">
      <c r="A136" s="36">
        <v>135</v>
      </c>
      <c r="B136" s="3" t="s">
        <v>16</v>
      </c>
      <c r="C136" s="10" t="str">
        <f>"0002295039"</f>
        <v>0002295039</v>
      </c>
      <c r="D136" s="11" t="str">
        <f t="shared" si="5"/>
        <v>実践Linux : Red Hat Linuxを使ってLinuxの基礎を学ぶ / 市村匠, 青山正人, 中村学著 ; 基礎導入編, サーバ構築・管理編, ネットワーク・セキュリティー編.-- セレンディップ.</v>
      </c>
      <c r="E136" s="11" t="str">
        <f t="shared" si="6"/>
        <v>基礎導入編</v>
      </c>
      <c r="F136" s="28" t="s">
        <v>8</v>
      </c>
      <c r="G136" s="29" t="str">
        <f t="shared" si="7"/>
        <v>007.6/ｲﾁ</v>
      </c>
      <c r="H136" s="10" t="str">
        <f t="shared" si="8"/>
        <v>2003/06/12</v>
      </c>
      <c r="I136" s="12">
        <v>2646</v>
      </c>
      <c r="J136" s="12">
        <v>100</v>
      </c>
      <c r="K136" s="10" t="str">
        <f t="shared" si="4"/>
        <v>1  和書</v>
      </c>
      <c r="L136" s="13"/>
    </row>
    <row r="137" spans="1:12" ht="36" x14ac:dyDescent="0.15">
      <c r="A137" s="36">
        <v>136</v>
      </c>
      <c r="B137" s="3" t="s">
        <v>16</v>
      </c>
      <c r="C137" s="10" t="str">
        <f>"0002295046"</f>
        <v>0002295046</v>
      </c>
      <c r="D137" s="11" t="str">
        <f t="shared" si="5"/>
        <v>実践Linux : Red Hat Linuxを使ってLinuxの基礎を学ぶ / 市村匠, 青山正人, 中村学著 ; 基礎導入編, サーバ構築・管理編, ネットワーク・セキュリティー編.-- セレンディップ.</v>
      </c>
      <c r="E137" s="11" t="str">
        <f t="shared" si="6"/>
        <v>基礎導入編</v>
      </c>
      <c r="F137" s="28" t="s">
        <v>8</v>
      </c>
      <c r="G137" s="29" t="str">
        <f t="shared" si="7"/>
        <v>007.6/ｲﾁ</v>
      </c>
      <c r="H137" s="10" t="str">
        <f t="shared" si="8"/>
        <v>2003/06/12</v>
      </c>
      <c r="I137" s="12">
        <v>2646</v>
      </c>
      <c r="J137" s="12">
        <v>100</v>
      </c>
      <c r="K137" s="10" t="str">
        <f t="shared" si="4"/>
        <v>1  和書</v>
      </c>
      <c r="L137" s="13"/>
    </row>
    <row r="138" spans="1:12" ht="36" x14ac:dyDescent="0.15">
      <c r="A138" s="36">
        <v>137</v>
      </c>
      <c r="B138" s="3" t="s">
        <v>16</v>
      </c>
      <c r="C138" s="10" t="str">
        <f>"0002295053"</f>
        <v>0002295053</v>
      </c>
      <c r="D138" s="11" t="str">
        <f t="shared" si="5"/>
        <v>実践Linux : Red Hat Linuxを使ってLinuxの基礎を学ぶ / 市村匠, 青山正人, 中村学著 ; 基礎導入編, サーバ構築・管理編, ネットワーク・セキュリティー編.-- セレンディップ.</v>
      </c>
      <c r="E138" s="11" t="str">
        <f t="shared" si="6"/>
        <v>基礎導入編</v>
      </c>
      <c r="F138" s="28" t="s">
        <v>8</v>
      </c>
      <c r="G138" s="29" t="str">
        <f t="shared" si="7"/>
        <v>007.6/ｲﾁ</v>
      </c>
      <c r="H138" s="10" t="str">
        <f t="shared" si="8"/>
        <v>2003/06/12</v>
      </c>
      <c r="I138" s="12">
        <v>2646</v>
      </c>
      <c r="J138" s="12">
        <v>100</v>
      </c>
      <c r="K138" s="10" t="str">
        <f t="shared" si="4"/>
        <v>1  和書</v>
      </c>
      <c r="L138" s="13"/>
    </row>
    <row r="139" spans="1:12" ht="36" x14ac:dyDescent="0.15">
      <c r="A139" s="36">
        <v>138</v>
      </c>
      <c r="B139" s="3" t="s">
        <v>16</v>
      </c>
      <c r="C139" s="10" t="str">
        <f>"0002295060"</f>
        <v>0002295060</v>
      </c>
      <c r="D139" s="11" t="str">
        <f t="shared" si="5"/>
        <v>実践Linux : Red Hat Linuxを使ってLinuxの基礎を学ぶ / 市村匠, 青山正人, 中村学著 ; 基礎導入編, サーバ構築・管理編, ネットワーク・セキュリティー編.-- セレンディップ.</v>
      </c>
      <c r="E139" s="11" t="str">
        <f t="shared" si="6"/>
        <v>基礎導入編</v>
      </c>
      <c r="F139" s="28" t="s">
        <v>8</v>
      </c>
      <c r="G139" s="29" t="str">
        <f t="shared" si="7"/>
        <v>007.6/ｲﾁ</v>
      </c>
      <c r="H139" s="10" t="str">
        <f t="shared" si="8"/>
        <v>2003/06/12</v>
      </c>
      <c r="I139" s="12">
        <v>2646</v>
      </c>
      <c r="J139" s="12">
        <v>100</v>
      </c>
      <c r="K139" s="10" t="str">
        <f t="shared" si="4"/>
        <v>1  和書</v>
      </c>
      <c r="L139" s="13"/>
    </row>
    <row r="140" spans="1:12" ht="36" x14ac:dyDescent="0.15">
      <c r="A140" s="36">
        <v>139</v>
      </c>
      <c r="B140" s="3" t="s">
        <v>16</v>
      </c>
      <c r="C140" s="10" t="str">
        <f>"0002295077"</f>
        <v>0002295077</v>
      </c>
      <c r="D140" s="11" t="str">
        <f t="shared" si="5"/>
        <v>実践Linux : Red Hat Linuxを使ってLinuxの基礎を学ぶ / 市村匠, 青山正人, 中村学著 ; 基礎導入編, サーバ構築・管理編, ネットワーク・セキュリティー編.-- セレンディップ.</v>
      </c>
      <c r="E140" s="11" t="str">
        <f t="shared" si="6"/>
        <v>基礎導入編</v>
      </c>
      <c r="F140" s="28" t="s">
        <v>8</v>
      </c>
      <c r="G140" s="29" t="str">
        <f t="shared" si="7"/>
        <v>007.6/ｲﾁ</v>
      </c>
      <c r="H140" s="10" t="str">
        <f t="shared" si="8"/>
        <v>2003/06/12</v>
      </c>
      <c r="I140" s="12">
        <v>2646</v>
      </c>
      <c r="J140" s="12">
        <v>100</v>
      </c>
      <c r="K140" s="10" t="str">
        <f t="shared" si="4"/>
        <v>1  和書</v>
      </c>
      <c r="L140" s="13"/>
    </row>
    <row r="141" spans="1:12" ht="36" x14ac:dyDescent="0.15">
      <c r="A141" s="36">
        <v>140</v>
      </c>
      <c r="B141" s="3" t="s">
        <v>16</v>
      </c>
      <c r="C141" s="10" t="str">
        <f>"0002295107"</f>
        <v>0002295107</v>
      </c>
      <c r="D141" s="11" t="str">
        <f t="shared" si="5"/>
        <v>実践Linux : Red Hat Linuxを使ってLinuxの基礎を学ぶ / 市村匠, 青山正人, 中村学著 ; 基礎導入編, サーバ構築・管理編, ネットワーク・セキュリティー編.-- セレンディップ.</v>
      </c>
      <c r="E141" s="11" t="str">
        <f t="shared" si="6"/>
        <v>基礎導入編</v>
      </c>
      <c r="F141" s="28" t="s">
        <v>8</v>
      </c>
      <c r="G141" s="29" t="str">
        <f t="shared" si="7"/>
        <v>007.6/ｲﾁ</v>
      </c>
      <c r="H141" s="10" t="str">
        <f t="shared" si="8"/>
        <v>2003/06/12</v>
      </c>
      <c r="I141" s="12">
        <v>2646</v>
      </c>
      <c r="J141" s="12">
        <v>100</v>
      </c>
      <c r="K141" s="10" t="str">
        <f t="shared" si="4"/>
        <v>1  和書</v>
      </c>
      <c r="L141" s="13"/>
    </row>
    <row r="142" spans="1:12" ht="36" x14ac:dyDescent="0.15">
      <c r="A142" s="36">
        <v>141</v>
      </c>
      <c r="B142" s="3" t="s">
        <v>16</v>
      </c>
      <c r="C142" s="10" t="str">
        <f>"0002295114"</f>
        <v>0002295114</v>
      </c>
      <c r="D142" s="11" t="str">
        <f t="shared" si="5"/>
        <v>実践Linux : Red Hat Linuxを使ってLinuxの基礎を学ぶ / 市村匠, 青山正人, 中村学著 ; 基礎導入編, サーバ構築・管理編, ネットワーク・セキュリティー編.-- セレンディップ.</v>
      </c>
      <c r="E142" s="11" t="str">
        <f t="shared" si="6"/>
        <v>基礎導入編</v>
      </c>
      <c r="F142" s="28" t="s">
        <v>8</v>
      </c>
      <c r="G142" s="29" t="str">
        <f t="shared" si="7"/>
        <v>007.6/ｲﾁ</v>
      </c>
      <c r="H142" s="10" t="str">
        <f t="shared" si="8"/>
        <v>2003/06/12</v>
      </c>
      <c r="I142" s="12">
        <v>2646</v>
      </c>
      <c r="J142" s="12">
        <v>100</v>
      </c>
      <c r="K142" s="10" t="str">
        <f t="shared" si="4"/>
        <v>1  和書</v>
      </c>
      <c r="L142" s="13"/>
    </row>
    <row r="143" spans="1:12" ht="36" x14ac:dyDescent="0.15">
      <c r="A143" s="36">
        <v>142</v>
      </c>
      <c r="B143" s="3" t="s">
        <v>16</v>
      </c>
      <c r="C143" s="10" t="str">
        <f>"0002295121"</f>
        <v>0002295121</v>
      </c>
      <c r="D143" s="11" t="str">
        <f t="shared" si="5"/>
        <v>実践Linux : Red Hat Linuxを使ってLinuxの基礎を学ぶ / 市村匠, 青山正人, 中村学著 ; 基礎導入編, サーバ構築・管理編, ネットワーク・セキュリティー編.-- セレンディップ.</v>
      </c>
      <c r="E143" s="11" t="str">
        <f t="shared" si="6"/>
        <v>基礎導入編</v>
      </c>
      <c r="F143" s="28" t="s">
        <v>8</v>
      </c>
      <c r="G143" s="29" t="str">
        <f t="shared" si="7"/>
        <v>007.6/ｲﾁ</v>
      </c>
      <c r="H143" s="10" t="str">
        <f t="shared" si="8"/>
        <v>2003/06/12</v>
      </c>
      <c r="I143" s="12">
        <v>2646</v>
      </c>
      <c r="J143" s="12">
        <v>100</v>
      </c>
      <c r="K143" s="10" t="str">
        <f t="shared" si="4"/>
        <v>1  和書</v>
      </c>
      <c r="L143" s="13"/>
    </row>
    <row r="144" spans="1:12" ht="36" x14ac:dyDescent="0.15">
      <c r="A144" s="36">
        <v>143</v>
      </c>
      <c r="B144" s="3" t="s">
        <v>16</v>
      </c>
      <c r="C144" s="10" t="str">
        <f>"0002295138"</f>
        <v>0002295138</v>
      </c>
      <c r="D144" s="11" t="str">
        <f t="shared" si="5"/>
        <v>実践Linux : Red Hat Linuxを使ってLinuxの基礎を学ぶ / 市村匠, 青山正人, 中村学著 ; 基礎導入編, サーバ構築・管理編, ネットワーク・セキュリティー編.-- セレンディップ.</v>
      </c>
      <c r="E144" s="11" t="str">
        <f t="shared" si="6"/>
        <v>基礎導入編</v>
      </c>
      <c r="F144" s="28" t="s">
        <v>8</v>
      </c>
      <c r="G144" s="29" t="str">
        <f t="shared" si="7"/>
        <v>007.6/ｲﾁ</v>
      </c>
      <c r="H144" s="10" t="str">
        <f t="shared" si="8"/>
        <v>2003/06/12</v>
      </c>
      <c r="I144" s="12">
        <v>2646</v>
      </c>
      <c r="J144" s="12">
        <v>100</v>
      </c>
      <c r="K144" s="10" t="str">
        <f t="shared" si="4"/>
        <v>1  和書</v>
      </c>
      <c r="L144" s="13"/>
    </row>
    <row r="145" spans="1:12" ht="36" x14ac:dyDescent="0.15">
      <c r="A145" s="36">
        <v>144</v>
      </c>
      <c r="B145" s="3" t="s">
        <v>16</v>
      </c>
      <c r="C145" s="10" t="str">
        <f>"0002295145"</f>
        <v>0002295145</v>
      </c>
      <c r="D145" s="11" t="str">
        <f t="shared" si="5"/>
        <v>実践Linux : Red Hat Linuxを使ってLinuxの基礎を学ぶ / 市村匠, 青山正人, 中村学著 ; 基礎導入編, サーバ構築・管理編, ネットワーク・セキュリティー編.-- セレンディップ.</v>
      </c>
      <c r="E145" s="11" t="str">
        <f t="shared" si="6"/>
        <v>基礎導入編</v>
      </c>
      <c r="F145" s="28" t="s">
        <v>8</v>
      </c>
      <c r="G145" s="29" t="str">
        <f t="shared" si="7"/>
        <v>007.6/ｲﾁ</v>
      </c>
      <c r="H145" s="10" t="str">
        <f t="shared" si="8"/>
        <v>2003/06/12</v>
      </c>
      <c r="I145" s="12">
        <v>2646</v>
      </c>
      <c r="J145" s="12">
        <v>100</v>
      </c>
      <c r="K145" s="10" t="str">
        <f t="shared" si="4"/>
        <v>1  和書</v>
      </c>
      <c r="L145" s="13"/>
    </row>
    <row r="146" spans="1:12" ht="36" x14ac:dyDescent="0.15">
      <c r="A146" s="36">
        <v>145</v>
      </c>
      <c r="B146" s="3" t="s">
        <v>16</v>
      </c>
      <c r="C146" s="10" t="str">
        <f>"0002295152"</f>
        <v>0002295152</v>
      </c>
      <c r="D146" s="11" t="str">
        <f t="shared" si="5"/>
        <v>実践Linux : Red Hat Linuxを使ってLinuxの基礎を学ぶ / 市村匠, 青山正人, 中村学著 ; 基礎導入編, サーバ構築・管理編, ネットワーク・セキュリティー編.-- セレンディップ.</v>
      </c>
      <c r="E146" s="11" t="str">
        <f t="shared" si="6"/>
        <v>基礎導入編</v>
      </c>
      <c r="F146" s="28" t="s">
        <v>8</v>
      </c>
      <c r="G146" s="29" t="str">
        <f t="shared" si="7"/>
        <v>007.6/ｲﾁ</v>
      </c>
      <c r="H146" s="10" t="str">
        <f t="shared" si="8"/>
        <v>2003/06/12</v>
      </c>
      <c r="I146" s="12">
        <v>2646</v>
      </c>
      <c r="J146" s="12">
        <v>100</v>
      </c>
      <c r="K146" s="10" t="str">
        <f t="shared" si="4"/>
        <v>1  和書</v>
      </c>
      <c r="L146" s="13"/>
    </row>
    <row r="147" spans="1:12" ht="36" x14ac:dyDescent="0.15">
      <c r="A147" s="36">
        <v>146</v>
      </c>
      <c r="B147" s="3" t="s">
        <v>16</v>
      </c>
      <c r="C147" s="10" t="str">
        <f>"0002295169"</f>
        <v>0002295169</v>
      </c>
      <c r="D147" s="11" t="str">
        <f t="shared" si="5"/>
        <v>実践Linux : Red Hat Linuxを使ってLinuxの基礎を学ぶ / 市村匠, 青山正人, 中村学著 ; 基礎導入編, サーバ構築・管理編, ネットワーク・セキュリティー編.-- セレンディップ.</v>
      </c>
      <c r="E147" s="11" t="str">
        <f t="shared" si="6"/>
        <v>基礎導入編</v>
      </c>
      <c r="F147" s="28" t="s">
        <v>8</v>
      </c>
      <c r="G147" s="29" t="str">
        <f t="shared" si="7"/>
        <v>007.6/ｲﾁ</v>
      </c>
      <c r="H147" s="10" t="str">
        <f t="shared" si="8"/>
        <v>2003/06/12</v>
      </c>
      <c r="I147" s="12">
        <v>2646</v>
      </c>
      <c r="J147" s="12">
        <v>100</v>
      </c>
      <c r="K147" s="10" t="str">
        <f t="shared" si="4"/>
        <v>1  和書</v>
      </c>
      <c r="L147" s="13"/>
    </row>
    <row r="148" spans="1:12" ht="36" x14ac:dyDescent="0.15">
      <c r="A148" s="36">
        <v>147</v>
      </c>
      <c r="B148" s="3" t="s">
        <v>16</v>
      </c>
      <c r="C148" s="10" t="str">
        <f>"0002295176"</f>
        <v>0002295176</v>
      </c>
      <c r="D148" s="11" t="str">
        <f t="shared" si="5"/>
        <v>実践Linux : Red Hat Linuxを使ってLinuxの基礎を学ぶ / 市村匠, 青山正人, 中村学著 ; 基礎導入編, サーバ構築・管理編, ネットワーク・セキュリティー編.-- セレンディップ.</v>
      </c>
      <c r="E148" s="11" t="str">
        <f t="shared" si="6"/>
        <v>基礎導入編</v>
      </c>
      <c r="F148" s="28" t="s">
        <v>8</v>
      </c>
      <c r="G148" s="29" t="str">
        <f t="shared" si="7"/>
        <v>007.6/ｲﾁ</v>
      </c>
      <c r="H148" s="10" t="str">
        <f t="shared" si="8"/>
        <v>2003/06/12</v>
      </c>
      <c r="I148" s="12">
        <v>2646</v>
      </c>
      <c r="J148" s="12">
        <v>100</v>
      </c>
      <c r="K148" s="10" t="str">
        <f t="shared" si="4"/>
        <v>1  和書</v>
      </c>
      <c r="L148" s="13"/>
    </row>
    <row r="149" spans="1:12" ht="36" x14ac:dyDescent="0.15">
      <c r="A149" s="36">
        <v>148</v>
      </c>
      <c r="B149" s="3" t="s">
        <v>16</v>
      </c>
      <c r="C149" s="10" t="str">
        <f>"0002295183"</f>
        <v>0002295183</v>
      </c>
      <c r="D149" s="11" t="str">
        <f t="shared" si="5"/>
        <v>実践Linux : Red Hat Linuxを使ってLinuxの基礎を学ぶ / 市村匠, 青山正人, 中村学著 ; 基礎導入編, サーバ構築・管理編, ネットワーク・セキュリティー編.-- セレンディップ.</v>
      </c>
      <c r="E149" s="11" t="str">
        <f t="shared" si="6"/>
        <v>基礎導入編</v>
      </c>
      <c r="F149" s="28" t="s">
        <v>8</v>
      </c>
      <c r="G149" s="29" t="str">
        <f t="shared" si="7"/>
        <v>007.6/ｲﾁ</v>
      </c>
      <c r="H149" s="10" t="str">
        <f t="shared" si="8"/>
        <v>2003/06/12</v>
      </c>
      <c r="I149" s="12">
        <v>2646</v>
      </c>
      <c r="J149" s="12">
        <v>100</v>
      </c>
      <c r="K149" s="10" t="str">
        <f t="shared" si="4"/>
        <v>1  和書</v>
      </c>
      <c r="L149" s="13"/>
    </row>
    <row r="150" spans="1:12" ht="36" x14ac:dyDescent="0.15">
      <c r="A150" s="36">
        <v>149</v>
      </c>
      <c r="B150" s="3" t="s">
        <v>16</v>
      </c>
      <c r="C150" s="10" t="str">
        <f>"0002295190"</f>
        <v>0002295190</v>
      </c>
      <c r="D150" s="11" t="str">
        <f t="shared" si="5"/>
        <v>実践Linux : Red Hat Linuxを使ってLinuxの基礎を学ぶ / 市村匠, 青山正人, 中村学著 ; 基礎導入編, サーバ構築・管理編, ネットワーク・セキュリティー編.-- セレンディップ.</v>
      </c>
      <c r="E150" s="11" t="str">
        <f t="shared" si="6"/>
        <v>基礎導入編</v>
      </c>
      <c r="F150" s="28" t="s">
        <v>8</v>
      </c>
      <c r="G150" s="29" t="str">
        <f t="shared" si="7"/>
        <v>007.6/ｲﾁ</v>
      </c>
      <c r="H150" s="10" t="str">
        <f t="shared" si="8"/>
        <v>2003/06/12</v>
      </c>
      <c r="I150" s="12">
        <v>2646</v>
      </c>
      <c r="J150" s="12">
        <v>100</v>
      </c>
      <c r="K150" s="10" t="str">
        <f t="shared" si="4"/>
        <v>1  和書</v>
      </c>
      <c r="L150" s="13"/>
    </row>
    <row r="151" spans="1:12" ht="36" x14ac:dyDescent="0.15">
      <c r="A151" s="36">
        <v>150</v>
      </c>
      <c r="B151" s="3" t="s">
        <v>16</v>
      </c>
      <c r="C151" s="10" t="str">
        <f>"0002295206"</f>
        <v>0002295206</v>
      </c>
      <c r="D151" s="11" t="str">
        <f t="shared" si="5"/>
        <v>実践Linux : Red Hat Linuxを使ってLinuxの基礎を学ぶ / 市村匠, 青山正人, 中村学著 ; 基礎導入編, サーバ構築・管理編, ネットワーク・セキュリティー編.-- セレンディップ.</v>
      </c>
      <c r="E151" s="11" t="str">
        <f t="shared" si="6"/>
        <v>基礎導入編</v>
      </c>
      <c r="F151" s="28" t="s">
        <v>8</v>
      </c>
      <c r="G151" s="29" t="str">
        <f t="shared" si="7"/>
        <v>007.6/ｲﾁ</v>
      </c>
      <c r="H151" s="10" t="str">
        <f t="shared" si="8"/>
        <v>2003/06/12</v>
      </c>
      <c r="I151" s="12">
        <v>2646</v>
      </c>
      <c r="J151" s="12">
        <v>100</v>
      </c>
      <c r="K151" s="10" t="str">
        <f t="shared" si="4"/>
        <v>1  和書</v>
      </c>
      <c r="L151" s="13"/>
    </row>
    <row r="152" spans="1:12" ht="36" x14ac:dyDescent="0.15">
      <c r="A152" s="36">
        <v>151</v>
      </c>
      <c r="B152" s="3" t="s">
        <v>16</v>
      </c>
      <c r="C152" s="10" t="str">
        <f>"0002295213"</f>
        <v>0002295213</v>
      </c>
      <c r="D152" s="11" t="str">
        <f t="shared" si="5"/>
        <v>実践Linux : Red Hat Linuxを使ってLinuxの基礎を学ぶ / 市村匠, 青山正人, 中村学著 ; 基礎導入編, サーバ構築・管理編, ネットワーク・セキュリティー編.-- セレンディップ.</v>
      </c>
      <c r="E152" s="11" t="str">
        <f t="shared" si="6"/>
        <v>基礎導入編</v>
      </c>
      <c r="F152" s="28" t="s">
        <v>8</v>
      </c>
      <c r="G152" s="29" t="str">
        <f t="shared" si="7"/>
        <v>007.6/ｲﾁ</v>
      </c>
      <c r="H152" s="10" t="str">
        <f t="shared" si="8"/>
        <v>2003/06/12</v>
      </c>
      <c r="I152" s="12">
        <v>2646</v>
      </c>
      <c r="J152" s="12">
        <v>100</v>
      </c>
      <c r="K152" s="10" t="str">
        <f t="shared" si="4"/>
        <v>1  和書</v>
      </c>
      <c r="L152" s="13"/>
    </row>
    <row r="153" spans="1:12" ht="36" x14ac:dyDescent="0.15">
      <c r="A153" s="36">
        <v>152</v>
      </c>
      <c r="B153" s="3" t="s">
        <v>16</v>
      </c>
      <c r="C153" s="10" t="str">
        <f>"0002295220"</f>
        <v>0002295220</v>
      </c>
      <c r="D153" s="11" t="str">
        <f t="shared" si="5"/>
        <v>実践Linux : Red Hat Linuxを使ってLinuxの基礎を学ぶ / 市村匠, 青山正人, 中村学著 ; 基礎導入編, サーバ構築・管理編, ネットワーク・セキュリティー編.-- セレンディップ.</v>
      </c>
      <c r="E153" s="11" t="str">
        <f t="shared" si="6"/>
        <v>基礎導入編</v>
      </c>
      <c r="F153" s="28" t="s">
        <v>8</v>
      </c>
      <c r="G153" s="29" t="str">
        <f t="shared" si="7"/>
        <v>007.6/ｲﾁ</v>
      </c>
      <c r="H153" s="10" t="str">
        <f t="shared" si="8"/>
        <v>2003/06/12</v>
      </c>
      <c r="I153" s="12">
        <v>2646</v>
      </c>
      <c r="J153" s="12">
        <v>100</v>
      </c>
      <c r="K153" s="10" t="str">
        <f t="shared" si="4"/>
        <v>1  和書</v>
      </c>
      <c r="L153" s="13"/>
    </row>
    <row r="154" spans="1:12" ht="36" x14ac:dyDescent="0.15">
      <c r="A154" s="36">
        <v>153</v>
      </c>
      <c r="B154" s="3" t="s">
        <v>16</v>
      </c>
      <c r="C154" s="10" t="str">
        <f>"0002295237"</f>
        <v>0002295237</v>
      </c>
      <c r="D154" s="11" t="str">
        <f t="shared" si="5"/>
        <v>実践Linux : Red Hat Linuxを使ってLinuxの基礎を学ぶ / 市村匠, 青山正人, 中村学著 ; 基礎導入編, サーバ構築・管理編, ネットワーク・セキュリティー編.-- セレンディップ.</v>
      </c>
      <c r="E154" s="11" t="str">
        <f t="shared" si="6"/>
        <v>基礎導入編</v>
      </c>
      <c r="F154" s="28" t="s">
        <v>8</v>
      </c>
      <c r="G154" s="29" t="str">
        <f t="shared" si="7"/>
        <v>007.6/ｲﾁ</v>
      </c>
      <c r="H154" s="10" t="str">
        <f t="shared" si="8"/>
        <v>2003/06/12</v>
      </c>
      <c r="I154" s="12">
        <v>2646</v>
      </c>
      <c r="J154" s="12">
        <v>100</v>
      </c>
      <c r="K154" s="10" t="str">
        <f t="shared" si="4"/>
        <v>1  和書</v>
      </c>
      <c r="L154" s="13"/>
    </row>
    <row r="155" spans="1:12" ht="36" x14ac:dyDescent="0.15">
      <c r="A155" s="36">
        <v>154</v>
      </c>
      <c r="B155" s="3" t="s">
        <v>16</v>
      </c>
      <c r="C155" s="10" t="str">
        <f>"0002295244"</f>
        <v>0002295244</v>
      </c>
      <c r="D155" s="11" t="str">
        <f t="shared" si="5"/>
        <v>実践Linux : Red Hat Linuxを使ってLinuxの基礎を学ぶ / 市村匠, 青山正人, 中村学著 ; 基礎導入編, サーバ構築・管理編, ネットワーク・セキュリティー編.-- セレンディップ.</v>
      </c>
      <c r="E155" s="11" t="str">
        <f t="shared" si="6"/>
        <v>基礎導入編</v>
      </c>
      <c r="F155" s="28" t="s">
        <v>8</v>
      </c>
      <c r="G155" s="29" t="str">
        <f t="shared" si="7"/>
        <v>007.6/ｲﾁ</v>
      </c>
      <c r="H155" s="10" t="str">
        <f t="shared" si="8"/>
        <v>2003/06/12</v>
      </c>
      <c r="I155" s="12">
        <v>2646</v>
      </c>
      <c r="J155" s="12">
        <v>100</v>
      </c>
      <c r="K155" s="10" t="str">
        <f t="shared" si="4"/>
        <v>1  和書</v>
      </c>
      <c r="L155" s="13"/>
    </row>
    <row r="156" spans="1:12" ht="36" x14ac:dyDescent="0.15">
      <c r="A156" s="36">
        <v>155</v>
      </c>
      <c r="B156" s="3" t="s">
        <v>16</v>
      </c>
      <c r="C156" s="10" t="str">
        <f>"0002295251"</f>
        <v>0002295251</v>
      </c>
      <c r="D156" s="11" t="str">
        <f t="shared" si="5"/>
        <v>実践Linux : Red Hat Linuxを使ってLinuxの基礎を学ぶ / 市村匠, 青山正人, 中村学著 ; 基礎導入編, サーバ構築・管理編, ネットワーク・セキュリティー編.-- セレンディップ.</v>
      </c>
      <c r="E156" s="11" t="str">
        <f t="shared" si="6"/>
        <v>基礎導入編</v>
      </c>
      <c r="F156" s="28" t="s">
        <v>8</v>
      </c>
      <c r="G156" s="29" t="str">
        <f t="shared" si="7"/>
        <v>007.6/ｲﾁ</v>
      </c>
      <c r="H156" s="10" t="str">
        <f t="shared" si="8"/>
        <v>2003/06/12</v>
      </c>
      <c r="I156" s="12">
        <v>2646</v>
      </c>
      <c r="J156" s="12">
        <v>100</v>
      </c>
      <c r="K156" s="10" t="str">
        <f t="shared" si="4"/>
        <v>1  和書</v>
      </c>
      <c r="L156" s="13"/>
    </row>
    <row r="157" spans="1:12" ht="36" x14ac:dyDescent="0.15">
      <c r="A157" s="36">
        <v>156</v>
      </c>
      <c r="B157" s="3" t="s">
        <v>16</v>
      </c>
      <c r="C157" s="10" t="str">
        <f>"0002295268"</f>
        <v>0002295268</v>
      </c>
      <c r="D157" s="11" t="str">
        <f t="shared" si="5"/>
        <v>実践Linux : Red Hat Linuxを使ってLinuxの基礎を学ぶ / 市村匠, 青山正人, 中村学著 ; 基礎導入編, サーバ構築・管理編, ネットワーク・セキュリティー編.-- セレンディップ.</v>
      </c>
      <c r="E157" s="11" t="str">
        <f t="shared" si="6"/>
        <v>基礎導入編</v>
      </c>
      <c r="F157" s="28" t="s">
        <v>8</v>
      </c>
      <c r="G157" s="29" t="str">
        <f t="shared" si="7"/>
        <v>007.6/ｲﾁ</v>
      </c>
      <c r="H157" s="10" t="str">
        <f t="shared" si="8"/>
        <v>2003/06/12</v>
      </c>
      <c r="I157" s="12">
        <v>2646</v>
      </c>
      <c r="J157" s="12">
        <v>100</v>
      </c>
      <c r="K157" s="10" t="str">
        <f t="shared" si="4"/>
        <v>1  和書</v>
      </c>
      <c r="L157" s="13"/>
    </row>
    <row r="158" spans="1:12" ht="36" x14ac:dyDescent="0.15">
      <c r="A158" s="36">
        <v>157</v>
      </c>
      <c r="B158" s="3" t="s">
        <v>16</v>
      </c>
      <c r="C158" s="10" t="str">
        <f>"0002295275"</f>
        <v>0002295275</v>
      </c>
      <c r="D158" s="11" t="str">
        <f t="shared" si="5"/>
        <v>実践Linux : Red Hat Linuxを使ってLinuxの基礎を学ぶ / 市村匠, 青山正人, 中村学著 ; 基礎導入編, サーバ構築・管理編, ネットワーク・セキュリティー編.-- セレンディップ.</v>
      </c>
      <c r="E158" s="11" t="str">
        <f t="shared" si="6"/>
        <v>基礎導入編</v>
      </c>
      <c r="F158" s="28" t="s">
        <v>8</v>
      </c>
      <c r="G158" s="29" t="str">
        <f t="shared" si="7"/>
        <v>007.6/ｲﾁ</v>
      </c>
      <c r="H158" s="10" t="str">
        <f t="shared" si="8"/>
        <v>2003/06/12</v>
      </c>
      <c r="I158" s="12">
        <v>2646</v>
      </c>
      <c r="J158" s="12">
        <v>100</v>
      </c>
      <c r="K158" s="10" t="str">
        <f t="shared" si="4"/>
        <v>1  和書</v>
      </c>
      <c r="L158" s="13"/>
    </row>
    <row r="159" spans="1:12" ht="36" x14ac:dyDescent="0.15">
      <c r="A159" s="36">
        <v>158</v>
      </c>
      <c r="B159" s="3" t="s">
        <v>16</v>
      </c>
      <c r="C159" s="10" t="str">
        <f>"0002295282"</f>
        <v>0002295282</v>
      </c>
      <c r="D159" s="11" t="str">
        <f t="shared" si="5"/>
        <v>実践Linux : Red Hat Linuxを使ってLinuxの基礎を学ぶ / 市村匠, 青山正人, 中村学著 ; 基礎導入編, サーバ構築・管理編, ネットワーク・セキュリティー編.-- セレンディップ.</v>
      </c>
      <c r="E159" s="11" t="str">
        <f t="shared" si="6"/>
        <v>基礎導入編</v>
      </c>
      <c r="F159" s="28" t="s">
        <v>8</v>
      </c>
      <c r="G159" s="29" t="str">
        <f t="shared" si="7"/>
        <v>007.6/ｲﾁ</v>
      </c>
      <c r="H159" s="10" t="str">
        <f t="shared" si="8"/>
        <v>2003/06/12</v>
      </c>
      <c r="I159" s="12">
        <v>2646</v>
      </c>
      <c r="J159" s="12">
        <v>100</v>
      </c>
      <c r="K159" s="10" t="str">
        <f t="shared" si="4"/>
        <v>1  和書</v>
      </c>
      <c r="L159" s="13"/>
    </row>
    <row r="160" spans="1:12" ht="36" x14ac:dyDescent="0.15">
      <c r="A160" s="36">
        <v>159</v>
      </c>
      <c r="B160" s="3" t="s">
        <v>16</v>
      </c>
      <c r="C160" s="10" t="str">
        <f>"0002295299"</f>
        <v>0002295299</v>
      </c>
      <c r="D160" s="11" t="str">
        <f t="shared" si="5"/>
        <v>実践Linux : Red Hat Linuxを使ってLinuxの基礎を学ぶ / 市村匠, 青山正人, 中村学著 ; 基礎導入編, サーバ構築・管理編, ネットワーク・セキュリティー編.-- セレンディップ.</v>
      </c>
      <c r="E160" s="11" t="str">
        <f t="shared" si="6"/>
        <v>基礎導入編</v>
      </c>
      <c r="F160" s="28" t="s">
        <v>8</v>
      </c>
      <c r="G160" s="29" t="str">
        <f t="shared" si="7"/>
        <v>007.6/ｲﾁ</v>
      </c>
      <c r="H160" s="10" t="str">
        <f t="shared" si="8"/>
        <v>2003/06/12</v>
      </c>
      <c r="I160" s="12">
        <v>2646</v>
      </c>
      <c r="J160" s="12">
        <v>100</v>
      </c>
      <c r="K160" s="10" t="str">
        <f t="shared" si="4"/>
        <v>1  和書</v>
      </c>
      <c r="L160" s="13"/>
    </row>
    <row r="161" spans="1:12" ht="36" x14ac:dyDescent="0.15">
      <c r="A161" s="36">
        <v>160</v>
      </c>
      <c r="B161" s="3" t="s">
        <v>16</v>
      </c>
      <c r="C161" s="10" t="str">
        <f>"0002295305"</f>
        <v>0002295305</v>
      </c>
      <c r="D161" s="11" t="str">
        <f t="shared" si="5"/>
        <v>実践Linux : Red Hat Linuxを使ってLinuxの基礎を学ぶ / 市村匠, 青山正人, 中村学著 ; 基礎導入編, サーバ構築・管理編, ネットワーク・セキュリティー編.-- セレンディップ.</v>
      </c>
      <c r="E161" s="11" t="str">
        <f t="shared" si="6"/>
        <v>基礎導入編</v>
      </c>
      <c r="F161" s="28" t="s">
        <v>8</v>
      </c>
      <c r="G161" s="29" t="str">
        <f t="shared" si="7"/>
        <v>007.6/ｲﾁ</v>
      </c>
      <c r="H161" s="10" t="str">
        <f t="shared" si="8"/>
        <v>2003/06/12</v>
      </c>
      <c r="I161" s="12">
        <v>2646</v>
      </c>
      <c r="J161" s="12">
        <v>100</v>
      </c>
      <c r="K161" s="10" t="str">
        <f t="shared" si="4"/>
        <v>1  和書</v>
      </c>
      <c r="L161" s="13"/>
    </row>
    <row r="162" spans="1:12" ht="36" x14ac:dyDescent="0.15">
      <c r="A162" s="36">
        <v>161</v>
      </c>
      <c r="B162" s="3" t="s">
        <v>16</v>
      </c>
      <c r="C162" s="10" t="str">
        <f>"0002295312"</f>
        <v>0002295312</v>
      </c>
      <c r="D162" s="11" t="str">
        <f t="shared" si="5"/>
        <v>実践Linux : Red Hat Linuxを使ってLinuxの基礎を学ぶ / 市村匠, 青山正人, 中村学著 ; 基礎導入編, サーバ構築・管理編, ネットワーク・セキュリティー編.-- セレンディップ.</v>
      </c>
      <c r="E162" s="11" t="str">
        <f t="shared" si="6"/>
        <v>基礎導入編</v>
      </c>
      <c r="F162" s="28" t="s">
        <v>8</v>
      </c>
      <c r="G162" s="29" t="str">
        <f t="shared" si="7"/>
        <v>007.6/ｲﾁ</v>
      </c>
      <c r="H162" s="10" t="str">
        <f t="shared" si="8"/>
        <v>2003/06/12</v>
      </c>
      <c r="I162" s="12">
        <v>2646</v>
      </c>
      <c r="J162" s="12">
        <v>100</v>
      </c>
      <c r="K162" s="10" t="str">
        <f t="shared" si="4"/>
        <v>1  和書</v>
      </c>
      <c r="L162" s="13"/>
    </row>
    <row r="163" spans="1:12" ht="36" x14ac:dyDescent="0.15">
      <c r="A163" s="36">
        <v>162</v>
      </c>
      <c r="B163" s="3" t="s">
        <v>16</v>
      </c>
      <c r="C163" s="10" t="str">
        <f>"0002295329"</f>
        <v>0002295329</v>
      </c>
      <c r="D163" s="11" t="str">
        <f t="shared" si="5"/>
        <v>実践Linux : Red Hat Linuxを使ってLinuxの基礎を学ぶ / 市村匠, 青山正人, 中村学著 ; 基礎導入編, サーバ構築・管理編, ネットワーク・セキュリティー編.-- セレンディップ.</v>
      </c>
      <c r="E163" s="11" t="str">
        <f t="shared" si="6"/>
        <v>基礎導入編</v>
      </c>
      <c r="F163" s="28" t="s">
        <v>8</v>
      </c>
      <c r="G163" s="29" t="str">
        <f t="shared" si="7"/>
        <v>007.6/ｲﾁ</v>
      </c>
      <c r="H163" s="10" t="str">
        <f t="shared" si="8"/>
        <v>2003/06/12</v>
      </c>
      <c r="I163" s="12">
        <v>2646</v>
      </c>
      <c r="J163" s="12">
        <v>100</v>
      </c>
      <c r="K163" s="10" t="str">
        <f t="shared" si="4"/>
        <v>1  和書</v>
      </c>
      <c r="L163" s="13"/>
    </row>
    <row r="164" spans="1:12" ht="36" x14ac:dyDescent="0.15">
      <c r="A164" s="36">
        <v>163</v>
      </c>
      <c r="B164" s="3" t="s">
        <v>16</v>
      </c>
      <c r="C164" s="10" t="str">
        <f>"0002295336"</f>
        <v>0002295336</v>
      </c>
      <c r="D164" s="11" t="str">
        <f t="shared" si="5"/>
        <v>実践Linux : Red Hat Linuxを使ってLinuxの基礎を学ぶ / 市村匠, 青山正人, 中村学著 ; 基礎導入編, サーバ構築・管理編, ネットワーク・セキュリティー編.-- セレンディップ.</v>
      </c>
      <c r="E164" s="11" t="str">
        <f t="shared" si="6"/>
        <v>基礎導入編</v>
      </c>
      <c r="F164" s="28" t="s">
        <v>8</v>
      </c>
      <c r="G164" s="29" t="str">
        <f t="shared" si="7"/>
        <v>007.6/ｲﾁ</v>
      </c>
      <c r="H164" s="10" t="str">
        <f t="shared" si="8"/>
        <v>2003/06/12</v>
      </c>
      <c r="I164" s="12">
        <v>2646</v>
      </c>
      <c r="J164" s="12">
        <v>100</v>
      </c>
      <c r="K164" s="10" t="str">
        <f t="shared" si="4"/>
        <v>1  和書</v>
      </c>
      <c r="L164" s="13"/>
    </row>
    <row r="165" spans="1:12" ht="36" x14ac:dyDescent="0.15">
      <c r="A165" s="36">
        <v>164</v>
      </c>
      <c r="B165" s="3" t="s">
        <v>16</v>
      </c>
      <c r="C165" s="10" t="str">
        <f>"0002295343"</f>
        <v>0002295343</v>
      </c>
      <c r="D165" s="11" t="str">
        <f t="shared" si="5"/>
        <v>実践Linux : Red Hat Linuxを使ってLinuxの基礎を学ぶ / 市村匠, 青山正人, 中村学著 ; 基礎導入編, サーバ構築・管理編, ネットワーク・セキュリティー編.-- セレンディップ.</v>
      </c>
      <c r="E165" s="11" t="str">
        <f t="shared" si="6"/>
        <v>基礎導入編</v>
      </c>
      <c r="F165" s="28" t="s">
        <v>8</v>
      </c>
      <c r="G165" s="29" t="str">
        <f t="shared" si="7"/>
        <v>007.6/ｲﾁ</v>
      </c>
      <c r="H165" s="10" t="str">
        <f t="shared" si="8"/>
        <v>2003/06/12</v>
      </c>
      <c r="I165" s="12">
        <v>2646</v>
      </c>
      <c r="J165" s="12">
        <v>100</v>
      </c>
      <c r="K165" s="10" t="str">
        <f t="shared" si="4"/>
        <v>1  和書</v>
      </c>
      <c r="L165" s="13"/>
    </row>
    <row r="166" spans="1:12" ht="36" x14ac:dyDescent="0.15">
      <c r="A166" s="36">
        <v>165</v>
      </c>
      <c r="B166" s="3" t="s">
        <v>16</v>
      </c>
      <c r="C166" s="10" t="str">
        <f>"0002295350"</f>
        <v>0002295350</v>
      </c>
      <c r="D166" s="11" t="str">
        <f t="shared" si="5"/>
        <v>実践Linux : Red Hat Linuxを使ってLinuxの基礎を学ぶ / 市村匠, 青山正人, 中村学著 ; 基礎導入編, サーバ構築・管理編, ネットワーク・セキュリティー編.-- セレンディップ.</v>
      </c>
      <c r="E166" s="11" t="str">
        <f t="shared" si="6"/>
        <v>基礎導入編</v>
      </c>
      <c r="F166" s="28" t="s">
        <v>8</v>
      </c>
      <c r="G166" s="29" t="str">
        <f t="shared" si="7"/>
        <v>007.6/ｲﾁ</v>
      </c>
      <c r="H166" s="10" t="str">
        <f t="shared" si="8"/>
        <v>2003/06/12</v>
      </c>
      <c r="I166" s="12">
        <v>2646</v>
      </c>
      <c r="J166" s="12">
        <v>100</v>
      </c>
      <c r="K166" s="10" t="str">
        <f t="shared" si="4"/>
        <v>1  和書</v>
      </c>
      <c r="L166" s="13"/>
    </row>
    <row r="167" spans="1:12" ht="36" x14ac:dyDescent="0.15">
      <c r="A167" s="36">
        <v>166</v>
      </c>
      <c r="B167" s="3" t="s">
        <v>16</v>
      </c>
      <c r="C167" s="10" t="str">
        <f>"0002295367"</f>
        <v>0002295367</v>
      </c>
      <c r="D167" s="11" t="str">
        <f t="shared" si="5"/>
        <v>実践Linux : Red Hat Linuxを使ってLinuxの基礎を学ぶ / 市村匠, 青山正人, 中村学著 ; 基礎導入編, サーバ構築・管理編, ネットワーク・セキュリティー編.-- セレンディップ.</v>
      </c>
      <c r="E167" s="11" t="str">
        <f t="shared" si="6"/>
        <v>基礎導入編</v>
      </c>
      <c r="F167" s="28" t="s">
        <v>8</v>
      </c>
      <c r="G167" s="29" t="str">
        <f t="shared" si="7"/>
        <v>007.6/ｲﾁ</v>
      </c>
      <c r="H167" s="10" t="str">
        <f t="shared" si="8"/>
        <v>2003/06/12</v>
      </c>
      <c r="I167" s="12">
        <v>2646</v>
      </c>
      <c r="J167" s="12">
        <v>100</v>
      </c>
      <c r="K167" s="10" t="str">
        <f t="shared" si="4"/>
        <v>1  和書</v>
      </c>
      <c r="L167" s="13"/>
    </row>
    <row r="168" spans="1:12" ht="36" x14ac:dyDescent="0.15">
      <c r="A168" s="36">
        <v>167</v>
      </c>
      <c r="B168" s="3" t="s">
        <v>16</v>
      </c>
      <c r="C168" s="10" t="str">
        <f>"0002295374"</f>
        <v>0002295374</v>
      </c>
      <c r="D168" s="11" t="str">
        <f t="shared" si="5"/>
        <v>実践Linux : Red Hat Linuxを使ってLinuxの基礎を学ぶ / 市村匠, 青山正人, 中村学著 ; 基礎導入編, サーバ構築・管理編, ネットワーク・セキュリティー編.-- セレンディップ.</v>
      </c>
      <c r="E168" s="11" t="str">
        <f t="shared" si="6"/>
        <v>基礎導入編</v>
      </c>
      <c r="F168" s="28" t="s">
        <v>8</v>
      </c>
      <c r="G168" s="29" t="str">
        <f t="shared" si="7"/>
        <v>007.6/ｲﾁ</v>
      </c>
      <c r="H168" s="10" t="str">
        <f t="shared" si="8"/>
        <v>2003/06/12</v>
      </c>
      <c r="I168" s="12">
        <v>2646</v>
      </c>
      <c r="J168" s="12">
        <v>100</v>
      </c>
      <c r="K168" s="10" t="str">
        <f t="shared" si="4"/>
        <v>1  和書</v>
      </c>
      <c r="L168" s="13"/>
    </row>
    <row r="169" spans="1:12" ht="36" x14ac:dyDescent="0.15">
      <c r="A169" s="36">
        <v>168</v>
      </c>
      <c r="B169" s="3" t="s">
        <v>16</v>
      </c>
      <c r="C169" s="10" t="str">
        <f>"0002295381"</f>
        <v>0002295381</v>
      </c>
      <c r="D169" s="11" t="str">
        <f t="shared" si="5"/>
        <v>実践Linux : Red Hat Linuxを使ってLinuxの基礎を学ぶ / 市村匠, 青山正人, 中村学著 ; 基礎導入編, サーバ構築・管理編, ネットワーク・セキュリティー編.-- セレンディップ.</v>
      </c>
      <c r="E169" s="11" t="str">
        <f t="shared" si="6"/>
        <v>基礎導入編</v>
      </c>
      <c r="F169" s="28" t="s">
        <v>8</v>
      </c>
      <c r="G169" s="29" t="str">
        <f t="shared" si="7"/>
        <v>007.6/ｲﾁ</v>
      </c>
      <c r="H169" s="10" t="str">
        <f t="shared" si="8"/>
        <v>2003/06/12</v>
      </c>
      <c r="I169" s="12">
        <v>2646</v>
      </c>
      <c r="J169" s="12">
        <v>100</v>
      </c>
      <c r="K169" s="10" t="str">
        <f t="shared" si="4"/>
        <v>1  和書</v>
      </c>
      <c r="L169" s="13"/>
    </row>
    <row r="170" spans="1:12" ht="36" x14ac:dyDescent="0.15">
      <c r="A170" s="36">
        <v>169</v>
      </c>
      <c r="B170" s="3" t="s">
        <v>16</v>
      </c>
      <c r="C170" s="10" t="str">
        <f>"0002295398"</f>
        <v>0002295398</v>
      </c>
      <c r="D170" s="11" t="str">
        <f t="shared" si="5"/>
        <v>実践Linux : Red Hat Linuxを使ってLinuxの基礎を学ぶ / 市村匠, 青山正人, 中村学著 ; 基礎導入編, サーバ構築・管理編, ネットワーク・セキュリティー編.-- セレンディップ.</v>
      </c>
      <c r="E170" s="11" t="str">
        <f t="shared" si="6"/>
        <v>基礎導入編</v>
      </c>
      <c r="F170" s="28" t="s">
        <v>8</v>
      </c>
      <c r="G170" s="29" t="str">
        <f t="shared" si="7"/>
        <v>007.6/ｲﾁ</v>
      </c>
      <c r="H170" s="10" t="str">
        <f t="shared" si="8"/>
        <v>2003/06/12</v>
      </c>
      <c r="I170" s="12">
        <v>2646</v>
      </c>
      <c r="J170" s="12">
        <v>100</v>
      </c>
      <c r="K170" s="10" t="str">
        <f t="shared" si="4"/>
        <v>1  和書</v>
      </c>
      <c r="L170" s="13"/>
    </row>
    <row r="171" spans="1:12" ht="36" x14ac:dyDescent="0.15">
      <c r="A171" s="36">
        <v>170</v>
      </c>
      <c r="B171" s="3" t="s">
        <v>16</v>
      </c>
      <c r="C171" s="10" t="str">
        <f>"0002295404"</f>
        <v>0002295404</v>
      </c>
      <c r="D171" s="11" t="str">
        <f t="shared" si="5"/>
        <v>実践Linux : Red Hat Linuxを使ってLinuxの基礎を学ぶ / 市村匠, 青山正人, 中村学著 ; 基礎導入編, サーバ構築・管理編, ネットワーク・セキュリティー編.-- セレンディップ.</v>
      </c>
      <c r="E171" s="11" t="str">
        <f t="shared" si="6"/>
        <v>基礎導入編</v>
      </c>
      <c r="F171" s="28" t="s">
        <v>8</v>
      </c>
      <c r="G171" s="29" t="str">
        <f t="shared" si="7"/>
        <v>007.6/ｲﾁ</v>
      </c>
      <c r="H171" s="10" t="str">
        <f t="shared" si="8"/>
        <v>2003/06/12</v>
      </c>
      <c r="I171" s="12">
        <v>2646</v>
      </c>
      <c r="J171" s="12">
        <v>100</v>
      </c>
      <c r="K171" s="10" t="str">
        <f t="shared" si="4"/>
        <v>1  和書</v>
      </c>
      <c r="L171" s="13"/>
    </row>
    <row r="172" spans="1:12" ht="36" x14ac:dyDescent="0.15">
      <c r="A172" s="36">
        <v>171</v>
      </c>
      <c r="B172" s="3" t="s">
        <v>16</v>
      </c>
      <c r="C172" s="10" t="str">
        <f>"0002295411"</f>
        <v>0002295411</v>
      </c>
      <c r="D172" s="11" t="str">
        <f t="shared" si="5"/>
        <v>実践Linux : Red Hat Linuxを使ってLinuxの基礎を学ぶ / 市村匠, 青山正人, 中村学著 ; 基礎導入編, サーバ構築・管理編, ネットワーク・セキュリティー編.-- セレンディップ.</v>
      </c>
      <c r="E172" s="11" t="str">
        <f t="shared" si="6"/>
        <v>基礎導入編</v>
      </c>
      <c r="F172" s="28" t="s">
        <v>8</v>
      </c>
      <c r="G172" s="29" t="str">
        <f t="shared" si="7"/>
        <v>007.6/ｲﾁ</v>
      </c>
      <c r="H172" s="10" t="str">
        <f t="shared" si="8"/>
        <v>2003/06/12</v>
      </c>
      <c r="I172" s="12">
        <v>2646</v>
      </c>
      <c r="J172" s="12">
        <v>100</v>
      </c>
      <c r="K172" s="10" t="str">
        <f t="shared" si="4"/>
        <v>1  和書</v>
      </c>
      <c r="L172" s="13"/>
    </row>
    <row r="173" spans="1:12" ht="36" x14ac:dyDescent="0.15">
      <c r="A173" s="36">
        <v>172</v>
      </c>
      <c r="B173" s="3" t="s">
        <v>16</v>
      </c>
      <c r="C173" s="10" t="str">
        <f>"0002295428"</f>
        <v>0002295428</v>
      </c>
      <c r="D173" s="11" t="str">
        <f t="shared" si="5"/>
        <v>実践Linux : Red Hat Linuxを使ってLinuxの基礎を学ぶ / 市村匠, 青山正人, 中村学著 ; 基礎導入編, サーバ構築・管理編, ネットワーク・セキュリティー編.-- セレンディップ.</v>
      </c>
      <c r="E173" s="11" t="str">
        <f t="shared" si="6"/>
        <v>基礎導入編</v>
      </c>
      <c r="F173" s="28" t="s">
        <v>8</v>
      </c>
      <c r="G173" s="29" t="str">
        <f t="shared" si="7"/>
        <v>007.6/ｲﾁ</v>
      </c>
      <c r="H173" s="10" t="str">
        <f t="shared" si="8"/>
        <v>2003/06/12</v>
      </c>
      <c r="I173" s="12">
        <v>2646</v>
      </c>
      <c r="J173" s="12">
        <v>100</v>
      </c>
      <c r="K173" s="10" t="str">
        <f t="shared" si="4"/>
        <v>1  和書</v>
      </c>
      <c r="L173" s="13"/>
    </row>
    <row r="174" spans="1:12" ht="36" x14ac:dyDescent="0.15">
      <c r="A174" s="36">
        <v>173</v>
      </c>
      <c r="B174" s="3" t="s">
        <v>16</v>
      </c>
      <c r="C174" s="10" t="str">
        <f>"0002295435"</f>
        <v>0002295435</v>
      </c>
      <c r="D174" s="11" t="str">
        <f t="shared" si="5"/>
        <v>実践Linux : Red Hat Linuxを使ってLinuxの基礎を学ぶ / 市村匠, 青山正人, 中村学著 ; 基礎導入編, サーバ構築・管理編, ネットワーク・セキュリティー編.-- セレンディップ.</v>
      </c>
      <c r="E174" s="11" t="str">
        <f t="shared" si="6"/>
        <v>基礎導入編</v>
      </c>
      <c r="F174" s="28" t="s">
        <v>8</v>
      </c>
      <c r="G174" s="29" t="str">
        <f t="shared" si="7"/>
        <v>007.6/ｲﾁ</v>
      </c>
      <c r="H174" s="10" t="str">
        <f t="shared" si="8"/>
        <v>2003/06/12</v>
      </c>
      <c r="I174" s="12">
        <v>2646</v>
      </c>
      <c r="J174" s="12">
        <v>100</v>
      </c>
      <c r="K174" s="10" t="str">
        <f t="shared" si="4"/>
        <v>1  和書</v>
      </c>
      <c r="L174" s="13"/>
    </row>
    <row r="175" spans="1:12" ht="36" x14ac:dyDescent="0.15">
      <c r="A175" s="36">
        <v>174</v>
      </c>
      <c r="B175" s="3" t="s">
        <v>16</v>
      </c>
      <c r="C175" s="10" t="str">
        <f>"0002295442"</f>
        <v>0002295442</v>
      </c>
      <c r="D175" s="11" t="str">
        <f t="shared" si="5"/>
        <v>実践Linux : Red Hat Linuxを使ってLinuxの基礎を学ぶ / 市村匠, 青山正人, 中村学著 ; 基礎導入編, サーバ構築・管理編, ネットワーク・セキュリティー編.-- セレンディップ.</v>
      </c>
      <c r="E175" s="11" t="str">
        <f t="shared" si="6"/>
        <v>基礎導入編</v>
      </c>
      <c r="F175" s="28" t="s">
        <v>8</v>
      </c>
      <c r="G175" s="29" t="str">
        <f t="shared" si="7"/>
        <v>007.6/ｲﾁ</v>
      </c>
      <c r="H175" s="10" t="str">
        <f t="shared" si="8"/>
        <v>2003/06/12</v>
      </c>
      <c r="I175" s="12">
        <v>2646</v>
      </c>
      <c r="J175" s="12">
        <v>100</v>
      </c>
      <c r="K175" s="10" t="str">
        <f t="shared" si="4"/>
        <v>1  和書</v>
      </c>
      <c r="L175" s="13"/>
    </row>
    <row r="176" spans="1:12" ht="36" x14ac:dyDescent="0.15">
      <c r="A176" s="36">
        <v>175</v>
      </c>
      <c r="B176" s="3" t="s">
        <v>16</v>
      </c>
      <c r="C176" s="10" t="str">
        <f>"0002295459"</f>
        <v>0002295459</v>
      </c>
      <c r="D176" s="11" t="str">
        <f t="shared" si="5"/>
        <v>実践Linux : Red Hat Linuxを使ってLinuxの基礎を学ぶ / 市村匠, 青山正人, 中村学著 ; 基礎導入編, サーバ構築・管理編, ネットワーク・セキュリティー編.-- セレンディップ.</v>
      </c>
      <c r="E176" s="11" t="str">
        <f t="shared" si="6"/>
        <v>基礎導入編</v>
      </c>
      <c r="F176" s="28" t="s">
        <v>8</v>
      </c>
      <c r="G176" s="29" t="str">
        <f t="shared" si="7"/>
        <v>007.6/ｲﾁ</v>
      </c>
      <c r="H176" s="10" t="str">
        <f t="shared" si="8"/>
        <v>2003/06/12</v>
      </c>
      <c r="I176" s="12">
        <v>2646</v>
      </c>
      <c r="J176" s="12">
        <v>100</v>
      </c>
      <c r="K176" s="10" t="str">
        <f t="shared" si="4"/>
        <v>1  和書</v>
      </c>
      <c r="L176" s="13"/>
    </row>
    <row r="177" spans="1:12" ht="36" x14ac:dyDescent="0.15">
      <c r="A177" s="36">
        <v>176</v>
      </c>
      <c r="B177" s="3" t="s">
        <v>16</v>
      </c>
      <c r="C177" s="10" t="str">
        <f>"0002295466"</f>
        <v>0002295466</v>
      </c>
      <c r="D177" s="11" t="str">
        <f t="shared" si="5"/>
        <v>実践Linux : Red Hat Linuxを使ってLinuxの基礎を学ぶ / 市村匠, 青山正人, 中村学著 ; 基礎導入編, サーバ構築・管理編, ネットワーク・セキュリティー編.-- セレンディップ.</v>
      </c>
      <c r="E177" s="11" t="str">
        <f t="shared" si="6"/>
        <v>基礎導入編</v>
      </c>
      <c r="F177" s="28" t="s">
        <v>8</v>
      </c>
      <c r="G177" s="29" t="str">
        <f t="shared" si="7"/>
        <v>007.6/ｲﾁ</v>
      </c>
      <c r="H177" s="10" t="str">
        <f t="shared" si="8"/>
        <v>2003/06/12</v>
      </c>
      <c r="I177" s="12">
        <v>2646</v>
      </c>
      <c r="J177" s="12">
        <v>100</v>
      </c>
      <c r="K177" s="10" t="str">
        <f t="shared" si="4"/>
        <v>1  和書</v>
      </c>
      <c r="L177" s="13"/>
    </row>
    <row r="178" spans="1:12" ht="36" x14ac:dyDescent="0.15">
      <c r="A178" s="36">
        <v>177</v>
      </c>
      <c r="B178" s="3" t="s">
        <v>16</v>
      </c>
      <c r="C178" s="10" t="str">
        <f>"0002295473"</f>
        <v>0002295473</v>
      </c>
      <c r="D178" s="11" t="str">
        <f t="shared" si="5"/>
        <v>実践Linux : Red Hat Linuxを使ってLinuxの基礎を学ぶ / 市村匠, 青山正人, 中村学著 ; 基礎導入編, サーバ構築・管理編, ネットワーク・セキュリティー編.-- セレンディップ.</v>
      </c>
      <c r="E178" s="11" t="str">
        <f t="shared" si="6"/>
        <v>基礎導入編</v>
      </c>
      <c r="F178" s="28" t="s">
        <v>8</v>
      </c>
      <c r="G178" s="29" t="str">
        <f t="shared" si="7"/>
        <v>007.6/ｲﾁ</v>
      </c>
      <c r="H178" s="10" t="str">
        <f t="shared" si="8"/>
        <v>2003/06/12</v>
      </c>
      <c r="I178" s="12">
        <v>2646</v>
      </c>
      <c r="J178" s="12">
        <v>100</v>
      </c>
      <c r="K178" s="10" t="str">
        <f t="shared" si="4"/>
        <v>1  和書</v>
      </c>
      <c r="L178" s="13"/>
    </row>
    <row r="179" spans="1:12" ht="36" x14ac:dyDescent="0.15">
      <c r="A179" s="36">
        <v>178</v>
      </c>
      <c r="B179" s="3" t="s">
        <v>16</v>
      </c>
      <c r="C179" s="10" t="str">
        <f>"0002295480"</f>
        <v>0002295480</v>
      </c>
      <c r="D179" s="11" t="str">
        <f t="shared" si="5"/>
        <v>実践Linux : Red Hat Linuxを使ってLinuxの基礎を学ぶ / 市村匠, 青山正人, 中村学著 ; 基礎導入編, サーバ構築・管理編, ネットワーク・セキュリティー編.-- セレンディップ.</v>
      </c>
      <c r="E179" s="11" t="str">
        <f t="shared" si="6"/>
        <v>基礎導入編</v>
      </c>
      <c r="F179" s="28" t="s">
        <v>8</v>
      </c>
      <c r="G179" s="29" t="str">
        <f t="shared" si="7"/>
        <v>007.6/ｲﾁ</v>
      </c>
      <c r="H179" s="10" t="str">
        <f t="shared" si="8"/>
        <v>2003/06/12</v>
      </c>
      <c r="I179" s="12">
        <v>2646</v>
      </c>
      <c r="J179" s="12">
        <v>100</v>
      </c>
      <c r="K179" s="10" t="str">
        <f t="shared" si="4"/>
        <v>1  和書</v>
      </c>
      <c r="L179" s="13"/>
    </row>
    <row r="180" spans="1:12" ht="36" x14ac:dyDescent="0.15">
      <c r="A180" s="36">
        <v>179</v>
      </c>
      <c r="B180" s="3" t="s">
        <v>16</v>
      </c>
      <c r="C180" s="10" t="str">
        <f>"0002295497"</f>
        <v>0002295497</v>
      </c>
      <c r="D180" s="11" t="str">
        <f t="shared" si="5"/>
        <v>実践Linux : Red Hat Linuxを使ってLinuxの基礎を学ぶ / 市村匠, 青山正人, 中村学著 ; 基礎導入編, サーバ構築・管理編, ネットワーク・セキュリティー編.-- セレンディップ.</v>
      </c>
      <c r="E180" s="11" t="str">
        <f t="shared" si="6"/>
        <v>基礎導入編</v>
      </c>
      <c r="F180" s="28" t="s">
        <v>8</v>
      </c>
      <c r="G180" s="29" t="str">
        <f t="shared" si="7"/>
        <v>007.6/ｲﾁ</v>
      </c>
      <c r="H180" s="10" t="str">
        <f t="shared" si="8"/>
        <v>2003/06/12</v>
      </c>
      <c r="I180" s="12">
        <v>2646</v>
      </c>
      <c r="J180" s="12">
        <v>100</v>
      </c>
      <c r="K180" s="10" t="str">
        <f t="shared" si="4"/>
        <v>1  和書</v>
      </c>
      <c r="L180" s="13"/>
    </row>
    <row r="181" spans="1:12" ht="36" x14ac:dyDescent="0.15">
      <c r="A181" s="36">
        <v>180</v>
      </c>
      <c r="B181" s="3" t="s">
        <v>16</v>
      </c>
      <c r="C181" s="10" t="str">
        <f>"0002295503"</f>
        <v>0002295503</v>
      </c>
      <c r="D181" s="11" t="str">
        <f t="shared" si="5"/>
        <v>実践Linux : Red Hat Linuxを使ってLinuxの基礎を学ぶ / 市村匠, 青山正人, 中村学著 ; 基礎導入編, サーバ構築・管理編, ネットワーク・セキュリティー編.-- セレンディップ.</v>
      </c>
      <c r="E181" s="11" t="str">
        <f t="shared" si="6"/>
        <v>基礎導入編</v>
      </c>
      <c r="F181" s="28" t="s">
        <v>8</v>
      </c>
      <c r="G181" s="29" t="str">
        <f t="shared" si="7"/>
        <v>007.6/ｲﾁ</v>
      </c>
      <c r="H181" s="10" t="str">
        <f t="shared" si="8"/>
        <v>2003/06/12</v>
      </c>
      <c r="I181" s="12">
        <v>2646</v>
      </c>
      <c r="J181" s="12">
        <v>100</v>
      </c>
      <c r="K181" s="10" t="str">
        <f t="shared" si="4"/>
        <v>1  和書</v>
      </c>
      <c r="L181" s="13"/>
    </row>
    <row r="182" spans="1:12" ht="36" x14ac:dyDescent="0.15">
      <c r="A182" s="36">
        <v>181</v>
      </c>
      <c r="B182" s="3" t="s">
        <v>16</v>
      </c>
      <c r="C182" s="10" t="str">
        <f>"0002295510"</f>
        <v>0002295510</v>
      </c>
      <c r="D182" s="11" t="str">
        <f t="shared" si="5"/>
        <v>実践Linux : Red Hat Linuxを使ってLinuxの基礎を学ぶ / 市村匠, 青山正人, 中村学著 ; 基礎導入編, サーバ構築・管理編, ネットワーク・セキュリティー編.-- セレンディップ.</v>
      </c>
      <c r="E182" s="11" t="str">
        <f t="shared" si="6"/>
        <v>基礎導入編</v>
      </c>
      <c r="F182" s="28" t="s">
        <v>8</v>
      </c>
      <c r="G182" s="29" t="str">
        <f t="shared" si="7"/>
        <v>007.6/ｲﾁ</v>
      </c>
      <c r="H182" s="10" t="str">
        <f t="shared" si="8"/>
        <v>2003/06/12</v>
      </c>
      <c r="I182" s="12">
        <v>2646</v>
      </c>
      <c r="J182" s="12">
        <v>100</v>
      </c>
      <c r="K182" s="10" t="str">
        <f t="shared" si="4"/>
        <v>1  和書</v>
      </c>
      <c r="L182" s="13"/>
    </row>
    <row r="183" spans="1:12" ht="36" x14ac:dyDescent="0.15">
      <c r="A183" s="36">
        <v>182</v>
      </c>
      <c r="B183" s="3" t="s">
        <v>16</v>
      </c>
      <c r="C183" s="10" t="str">
        <f>"0002295527"</f>
        <v>0002295527</v>
      </c>
      <c r="D183" s="11" t="str">
        <f t="shared" si="5"/>
        <v>実践Linux : Red Hat Linuxを使ってLinuxの基礎を学ぶ / 市村匠, 青山正人, 中村学著 ; 基礎導入編, サーバ構築・管理編, ネットワーク・セキュリティー編.-- セレンディップ.</v>
      </c>
      <c r="E183" s="11" t="str">
        <f t="shared" si="6"/>
        <v>基礎導入編</v>
      </c>
      <c r="F183" s="28" t="s">
        <v>8</v>
      </c>
      <c r="G183" s="29" t="str">
        <f t="shared" si="7"/>
        <v>007.6/ｲﾁ</v>
      </c>
      <c r="H183" s="10" t="str">
        <f t="shared" si="8"/>
        <v>2003/06/12</v>
      </c>
      <c r="I183" s="12">
        <v>2646</v>
      </c>
      <c r="J183" s="12">
        <v>100</v>
      </c>
      <c r="K183" s="10" t="str">
        <f t="shared" si="4"/>
        <v>1  和書</v>
      </c>
      <c r="L183" s="13"/>
    </row>
    <row r="184" spans="1:12" ht="36" x14ac:dyDescent="0.15">
      <c r="A184" s="36">
        <v>183</v>
      </c>
      <c r="B184" s="3" t="s">
        <v>16</v>
      </c>
      <c r="C184" s="10" t="str">
        <f>"0002295534"</f>
        <v>0002295534</v>
      </c>
      <c r="D184" s="11" t="str">
        <f t="shared" si="5"/>
        <v>実践Linux : Red Hat Linuxを使ってLinuxの基礎を学ぶ / 市村匠, 青山正人, 中村学著 ; 基礎導入編, サーバ構築・管理編, ネットワーク・セキュリティー編.-- セレンディップ.</v>
      </c>
      <c r="E184" s="11" t="str">
        <f t="shared" si="6"/>
        <v>基礎導入編</v>
      </c>
      <c r="F184" s="28" t="s">
        <v>8</v>
      </c>
      <c r="G184" s="29" t="str">
        <f t="shared" si="7"/>
        <v>007.6/ｲﾁ</v>
      </c>
      <c r="H184" s="10" t="str">
        <f t="shared" si="8"/>
        <v>2003/06/12</v>
      </c>
      <c r="I184" s="12">
        <v>2646</v>
      </c>
      <c r="J184" s="12">
        <v>100</v>
      </c>
      <c r="K184" s="10" t="str">
        <f t="shared" si="4"/>
        <v>1  和書</v>
      </c>
      <c r="L184" s="13"/>
    </row>
    <row r="185" spans="1:12" ht="36" x14ac:dyDescent="0.15">
      <c r="A185" s="36">
        <v>184</v>
      </c>
      <c r="B185" s="3" t="s">
        <v>16</v>
      </c>
      <c r="C185" s="10" t="str">
        <f>"0002295541"</f>
        <v>0002295541</v>
      </c>
      <c r="D185" s="11" t="str">
        <f t="shared" si="5"/>
        <v>実践Linux : Red Hat Linuxを使ってLinuxの基礎を学ぶ / 市村匠, 青山正人, 中村学著 ; 基礎導入編, サーバ構築・管理編, ネットワーク・セキュリティー編.-- セレンディップ.</v>
      </c>
      <c r="E185" s="11" t="str">
        <f t="shared" si="6"/>
        <v>基礎導入編</v>
      </c>
      <c r="F185" s="28" t="s">
        <v>8</v>
      </c>
      <c r="G185" s="29" t="str">
        <f t="shared" si="7"/>
        <v>007.6/ｲﾁ</v>
      </c>
      <c r="H185" s="10" t="str">
        <f t="shared" si="8"/>
        <v>2003/06/12</v>
      </c>
      <c r="I185" s="12">
        <v>2646</v>
      </c>
      <c r="J185" s="12">
        <v>100</v>
      </c>
      <c r="K185" s="10" t="str">
        <f t="shared" si="4"/>
        <v>1  和書</v>
      </c>
      <c r="L185" s="13"/>
    </row>
    <row r="186" spans="1:12" ht="36" x14ac:dyDescent="0.15">
      <c r="A186" s="36">
        <v>185</v>
      </c>
      <c r="B186" s="3" t="s">
        <v>16</v>
      </c>
      <c r="C186" s="10" t="str">
        <f>"0002295558"</f>
        <v>0002295558</v>
      </c>
      <c r="D186" s="11" t="str">
        <f t="shared" si="5"/>
        <v>実践Linux : Red Hat Linuxを使ってLinuxの基礎を学ぶ / 市村匠, 青山正人, 中村学著 ; 基礎導入編, サーバ構築・管理編, ネットワーク・セキュリティー編.-- セレンディップ.</v>
      </c>
      <c r="E186" s="11" t="str">
        <f t="shared" si="6"/>
        <v>基礎導入編</v>
      </c>
      <c r="F186" s="28" t="s">
        <v>8</v>
      </c>
      <c r="G186" s="29" t="str">
        <f t="shared" si="7"/>
        <v>007.6/ｲﾁ</v>
      </c>
      <c r="H186" s="10" t="str">
        <f t="shared" si="8"/>
        <v>2003/06/12</v>
      </c>
      <c r="I186" s="12">
        <v>2646</v>
      </c>
      <c r="J186" s="12">
        <v>100</v>
      </c>
      <c r="K186" s="10" t="str">
        <f t="shared" si="4"/>
        <v>1  和書</v>
      </c>
      <c r="L186" s="13"/>
    </row>
    <row r="187" spans="1:12" ht="36" x14ac:dyDescent="0.15">
      <c r="A187" s="36">
        <v>186</v>
      </c>
      <c r="B187" s="3" t="s">
        <v>16</v>
      </c>
      <c r="C187" s="10" t="str">
        <f>"0002295565"</f>
        <v>0002295565</v>
      </c>
      <c r="D187" s="11" t="str">
        <f t="shared" si="5"/>
        <v>実践Linux : Red Hat Linuxを使ってLinuxの基礎を学ぶ / 市村匠, 青山正人, 中村学著 ; 基礎導入編, サーバ構築・管理編, ネットワーク・セキュリティー編.-- セレンディップ.</v>
      </c>
      <c r="E187" s="11" t="str">
        <f t="shared" si="6"/>
        <v>基礎導入編</v>
      </c>
      <c r="F187" s="28" t="s">
        <v>8</v>
      </c>
      <c r="G187" s="29" t="str">
        <f t="shared" si="7"/>
        <v>007.6/ｲﾁ</v>
      </c>
      <c r="H187" s="10" t="str">
        <f t="shared" si="8"/>
        <v>2003/06/12</v>
      </c>
      <c r="I187" s="12">
        <v>2646</v>
      </c>
      <c r="J187" s="12">
        <v>100</v>
      </c>
      <c r="K187" s="10" t="str">
        <f t="shared" si="4"/>
        <v>1  和書</v>
      </c>
      <c r="L187" s="13"/>
    </row>
    <row r="188" spans="1:12" ht="36" x14ac:dyDescent="0.15">
      <c r="A188" s="36">
        <v>187</v>
      </c>
      <c r="B188" s="3" t="s">
        <v>16</v>
      </c>
      <c r="C188" s="10" t="str">
        <f>"0002295572"</f>
        <v>0002295572</v>
      </c>
      <c r="D188" s="11" t="str">
        <f t="shared" si="5"/>
        <v>実践Linux : Red Hat Linuxを使ってLinuxの基礎を学ぶ / 市村匠, 青山正人, 中村学著 ; 基礎導入編, サーバ構築・管理編, ネットワーク・セキュリティー編.-- セレンディップ.</v>
      </c>
      <c r="E188" s="11" t="str">
        <f t="shared" si="6"/>
        <v>基礎導入編</v>
      </c>
      <c r="F188" s="28" t="s">
        <v>8</v>
      </c>
      <c r="G188" s="29" t="str">
        <f t="shared" si="7"/>
        <v>007.6/ｲﾁ</v>
      </c>
      <c r="H188" s="10" t="str">
        <f t="shared" si="8"/>
        <v>2003/06/12</v>
      </c>
      <c r="I188" s="12">
        <v>2646</v>
      </c>
      <c r="J188" s="12">
        <v>100</v>
      </c>
      <c r="K188" s="10" t="str">
        <f t="shared" si="4"/>
        <v>1  和書</v>
      </c>
      <c r="L188" s="13"/>
    </row>
    <row r="189" spans="1:12" ht="24" x14ac:dyDescent="0.15">
      <c r="A189" s="36">
        <v>188</v>
      </c>
      <c r="B189" s="3" t="s">
        <v>16</v>
      </c>
      <c r="C189" s="10" t="str">
        <f>"0002756424"</f>
        <v>0002756424</v>
      </c>
      <c r="D189" s="11" t="str">
        <f t="shared" ref="D189:D202" si="9">"オープンソースGIMP入門 : 世界でもっとも有名なフリーソフトのひとつを使ってみよう / 市村匠, 河野優二, 岸保秀樹共著.-- セレンディップ."</f>
        <v>オープンソースGIMP入門 : 世界でもっとも有名なフリーソフトのひとつを使ってみよう / 市村匠, 河野優二, 岸保秀樹共著.-- セレンディップ.</v>
      </c>
      <c r="E189" s="11" t="str">
        <f>""</f>
        <v/>
      </c>
      <c r="F189" s="28" t="s">
        <v>8</v>
      </c>
      <c r="G189" s="29" t="str">
        <f t="shared" si="7"/>
        <v>007.6/ｲﾁ</v>
      </c>
      <c r="H189" s="10" t="str">
        <f>"2004/08/23"</f>
        <v>2004/08/23</v>
      </c>
      <c r="I189" s="12">
        <v>3213</v>
      </c>
      <c r="J189" s="12">
        <v>100</v>
      </c>
      <c r="K189" s="10" t="str">
        <f t="shared" si="4"/>
        <v>1  和書</v>
      </c>
      <c r="L189" s="13"/>
    </row>
    <row r="190" spans="1:12" ht="24" x14ac:dyDescent="0.15">
      <c r="A190" s="36">
        <v>189</v>
      </c>
      <c r="B190" s="3" t="s">
        <v>16</v>
      </c>
      <c r="C190" s="10" t="str">
        <f>"0002756943"</f>
        <v>0002756943</v>
      </c>
      <c r="D190" s="11" t="str">
        <f t="shared" si="9"/>
        <v>オープンソースGIMP入門 : 世界でもっとも有名なフリーソフトのひとつを使ってみよう / 市村匠, 河野優二, 岸保秀樹共著.-- セレンディップ.</v>
      </c>
      <c r="E190" s="11" t="str">
        <f>""</f>
        <v/>
      </c>
      <c r="F190" s="28" t="s">
        <v>8</v>
      </c>
      <c r="G190" s="29" t="str">
        <f t="shared" si="7"/>
        <v>007.6/ｲﾁ</v>
      </c>
      <c r="H190" s="10" t="str">
        <f t="shared" ref="H190:H196" si="10">"2004/09/30"</f>
        <v>2004/09/30</v>
      </c>
      <c r="I190" s="12">
        <v>3213</v>
      </c>
      <c r="J190" s="12">
        <v>100</v>
      </c>
      <c r="K190" s="10" t="str">
        <f t="shared" si="4"/>
        <v>1  和書</v>
      </c>
      <c r="L190" s="13"/>
    </row>
    <row r="191" spans="1:12" ht="24" x14ac:dyDescent="0.15">
      <c r="A191" s="36">
        <v>190</v>
      </c>
      <c r="B191" s="3" t="s">
        <v>16</v>
      </c>
      <c r="C191" s="10" t="str">
        <f>"0002756950"</f>
        <v>0002756950</v>
      </c>
      <c r="D191" s="11" t="str">
        <f t="shared" si="9"/>
        <v>オープンソースGIMP入門 : 世界でもっとも有名なフリーソフトのひとつを使ってみよう / 市村匠, 河野優二, 岸保秀樹共著.-- セレンディップ.</v>
      </c>
      <c r="E191" s="11" t="str">
        <f>""</f>
        <v/>
      </c>
      <c r="F191" s="28" t="s">
        <v>8</v>
      </c>
      <c r="G191" s="29" t="str">
        <f t="shared" si="7"/>
        <v>007.6/ｲﾁ</v>
      </c>
      <c r="H191" s="10" t="str">
        <f t="shared" si="10"/>
        <v>2004/09/30</v>
      </c>
      <c r="I191" s="12">
        <v>3213</v>
      </c>
      <c r="J191" s="12">
        <v>100</v>
      </c>
      <c r="K191" s="10" t="str">
        <f t="shared" si="4"/>
        <v>1  和書</v>
      </c>
      <c r="L191" s="13"/>
    </row>
    <row r="192" spans="1:12" ht="24" x14ac:dyDescent="0.15">
      <c r="A192" s="36">
        <v>191</v>
      </c>
      <c r="B192" s="3" t="s">
        <v>16</v>
      </c>
      <c r="C192" s="10" t="str">
        <f>"0002756967"</f>
        <v>0002756967</v>
      </c>
      <c r="D192" s="11" t="str">
        <f t="shared" si="9"/>
        <v>オープンソースGIMP入門 : 世界でもっとも有名なフリーソフトのひとつを使ってみよう / 市村匠, 河野優二, 岸保秀樹共著.-- セレンディップ.</v>
      </c>
      <c r="E192" s="11" t="str">
        <f>""</f>
        <v/>
      </c>
      <c r="F192" s="28" t="s">
        <v>8</v>
      </c>
      <c r="G192" s="29" t="str">
        <f t="shared" si="7"/>
        <v>007.6/ｲﾁ</v>
      </c>
      <c r="H192" s="10" t="str">
        <f t="shared" si="10"/>
        <v>2004/09/30</v>
      </c>
      <c r="I192" s="12">
        <v>3213</v>
      </c>
      <c r="J192" s="12">
        <v>100</v>
      </c>
      <c r="K192" s="10" t="str">
        <f t="shared" si="4"/>
        <v>1  和書</v>
      </c>
      <c r="L192" s="13"/>
    </row>
    <row r="193" spans="1:12" ht="24" x14ac:dyDescent="0.15">
      <c r="A193" s="36">
        <v>192</v>
      </c>
      <c r="B193" s="3" t="s">
        <v>16</v>
      </c>
      <c r="C193" s="10" t="str">
        <f>"0002756974"</f>
        <v>0002756974</v>
      </c>
      <c r="D193" s="11" t="str">
        <f t="shared" si="9"/>
        <v>オープンソースGIMP入門 : 世界でもっとも有名なフリーソフトのひとつを使ってみよう / 市村匠, 河野優二, 岸保秀樹共著.-- セレンディップ.</v>
      </c>
      <c r="E193" s="11" t="str">
        <f>""</f>
        <v/>
      </c>
      <c r="F193" s="28" t="s">
        <v>8</v>
      </c>
      <c r="G193" s="29" t="str">
        <f t="shared" si="7"/>
        <v>007.6/ｲﾁ</v>
      </c>
      <c r="H193" s="10" t="str">
        <f t="shared" si="10"/>
        <v>2004/09/30</v>
      </c>
      <c r="I193" s="12">
        <v>3213</v>
      </c>
      <c r="J193" s="12">
        <v>100</v>
      </c>
      <c r="K193" s="10" t="str">
        <f t="shared" si="4"/>
        <v>1  和書</v>
      </c>
      <c r="L193" s="13"/>
    </row>
    <row r="194" spans="1:12" ht="24" x14ac:dyDescent="0.15">
      <c r="A194" s="36">
        <v>193</v>
      </c>
      <c r="B194" s="3" t="s">
        <v>16</v>
      </c>
      <c r="C194" s="10" t="str">
        <f>"0002756981"</f>
        <v>0002756981</v>
      </c>
      <c r="D194" s="11" t="str">
        <f t="shared" si="9"/>
        <v>オープンソースGIMP入門 : 世界でもっとも有名なフリーソフトのひとつを使ってみよう / 市村匠, 河野優二, 岸保秀樹共著.-- セレンディップ.</v>
      </c>
      <c r="E194" s="11" t="str">
        <f>""</f>
        <v/>
      </c>
      <c r="F194" s="28" t="s">
        <v>8</v>
      </c>
      <c r="G194" s="29" t="str">
        <f t="shared" si="7"/>
        <v>007.6/ｲﾁ</v>
      </c>
      <c r="H194" s="10" t="str">
        <f t="shared" si="10"/>
        <v>2004/09/30</v>
      </c>
      <c r="I194" s="12">
        <v>3213</v>
      </c>
      <c r="J194" s="12">
        <v>100</v>
      </c>
      <c r="K194" s="10" t="str">
        <f t="shared" ref="K194:K223" si="11">"1  和書"</f>
        <v>1  和書</v>
      </c>
      <c r="L194" s="13"/>
    </row>
    <row r="195" spans="1:12" ht="24" x14ac:dyDescent="0.15">
      <c r="A195" s="36">
        <v>194</v>
      </c>
      <c r="B195" s="3" t="s">
        <v>16</v>
      </c>
      <c r="C195" s="10" t="str">
        <f>"0002756998"</f>
        <v>0002756998</v>
      </c>
      <c r="D195" s="11" t="str">
        <f t="shared" si="9"/>
        <v>オープンソースGIMP入門 : 世界でもっとも有名なフリーソフトのひとつを使ってみよう / 市村匠, 河野優二, 岸保秀樹共著.-- セレンディップ.</v>
      </c>
      <c r="E195" s="11" t="str">
        <f>""</f>
        <v/>
      </c>
      <c r="F195" s="28" t="s">
        <v>8</v>
      </c>
      <c r="G195" s="29" t="str">
        <f t="shared" si="7"/>
        <v>007.6/ｲﾁ</v>
      </c>
      <c r="H195" s="10" t="str">
        <f t="shared" si="10"/>
        <v>2004/09/30</v>
      </c>
      <c r="I195" s="12">
        <v>3213</v>
      </c>
      <c r="J195" s="12">
        <v>100</v>
      </c>
      <c r="K195" s="10" t="str">
        <f t="shared" si="11"/>
        <v>1  和書</v>
      </c>
      <c r="L195" s="13"/>
    </row>
    <row r="196" spans="1:12" ht="24" x14ac:dyDescent="0.15">
      <c r="A196" s="36">
        <v>195</v>
      </c>
      <c r="B196" s="3" t="s">
        <v>16</v>
      </c>
      <c r="C196" s="10" t="str">
        <f>"0002757001"</f>
        <v>0002757001</v>
      </c>
      <c r="D196" s="11" t="str">
        <f t="shared" si="9"/>
        <v>オープンソースGIMP入門 : 世界でもっとも有名なフリーソフトのひとつを使ってみよう / 市村匠, 河野優二, 岸保秀樹共著.-- セレンディップ.</v>
      </c>
      <c r="E196" s="11" t="str">
        <f>""</f>
        <v/>
      </c>
      <c r="F196" s="28" t="s">
        <v>8</v>
      </c>
      <c r="G196" s="29" t="str">
        <f t="shared" ref="G196:G202" si="12">"007.6/ｲﾁ"</f>
        <v>007.6/ｲﾁ</v>
      </c>
      <c r="H196" s="10" t="str">
        <f t="shared" si="10"/>
        <v>2004/09/30</v>
      </c>
      <c r="I196" s="12">
        <v>3213</v>
      </c>
      <c r="J196" s="12">
        <v>100</v>
      </c>
      <c r="K196" s="10" t="str">
        <f t="shared" si="11"/>
        <v>1  和書</v>
      </c>
      <c r="L196" s="13"/>
    </row>
    <row r="197" spans="1:12" ht="24" x14ac:dyDescent="0.15">
      <c r="A197" s="36">
        <v>196</v>
      </c>
      <c r="B197" s="3" t="s">
        <v>16</v>
      </c>
      <c r="C197" s="10" t="str">
        <f>"0002757032"</f>
        <v>0002757032</v>
      </c>
      <c r="D197" s="11" t="str">
        <f t="shared" si="9"/>
        <v>オープンソースGIMP入門 : 世界でもっとも有名なフリーソフトのひとつを使ってみよう / 市村匠, 河野優二, 岸保秀樹共著.-- セレンディップ.</v>
      </c>
      <c r="E197" s="11" t="str">
        <f>""</f>
        <v/>
      </c>
      <c r="F197" s="28" t="s">
        <v>8</v>
      </c>
      <c r="G197" s="29" t="str">
        <f t="shared" si="12"/>
        <v>007.6/ｲﾁ</v>
      </c>
      <c r="H197" s="10" t="str">
        <f t="shared" ref="H197:H202" si="13">"2004/10/06"</f>
        <v>2004/10/06</v>
      </c>
      <c r="I197" s="12">
        <v>3213</v>
      </c>
      <c r="J197" s="12">
        <v>100</v>
      </c>
      <c r="K197" s="10" t="str">
        <f t="shared" si="11"/>
        <v>1  和書</v>
      </c>
      <c r="L197" s="13"/>
    </row>
    <row r="198" spans="1:12" ht="24" x14ac:dyDescent="0.15">
      <c r="A198" s="36">
        <v>197</v>
      </c>
      <c r="B198" s="3" t="s">
        <v>16</v>
      </c>
      <c r="C198" s="10" t="str">
        <f>"0002757049"</f>
        <v>0002757049</v>
      </c>
      <c r="D198" s="11" t="str">
        <f t="shared" si="9"/>
        <v>オープンソースGIMP入門 : 世界でもっとも有名なフリーソフトのひとつを使ってみよう / 市村匠, 河野優二, 岸保秀樹共著.-- セレンディップ.</v>
      </c>
      <c r="E198" s="11" t="str">
        <f>""</f>
        <v/>
      </c>
      <c r="F198" s="28" t="s">
        <v>8</v>
      </c>
      <c r="G198" s="29" t="str">
        <f t="shared" si="12"/>
        <v>007.6/ｲﾁ</v>
      </c>
      <c r="H198" s="10" t="str">
        <f t="shared" si="13"/>
        <v>2004/10/06</v>
      </c>
      <c r="I198" s="12">
        <v>3213</v>
      </c>
      <c r="J198" s="12">
        <v>100</v>
      </c>
      <c r="K198" s="10" t="str">
        <f t="shared" si="11"/>
        <v>1  和書</v>
      </c>
      <c r="L198" s="13"/>
    </row>
    <row r="199" spans="1:12" ht="24" x14ac:dyDescent="0.15">
      <c r="A199" s="36">
        <v>198</v>
      </c>
      <c r="B199" s="3" t="s">
        <v>16</v>
      </c>
      <c r="C199" s="10" t="str">
        <f>"0002757056"</f>
        <v>0002757056</v>
      </c>
      <c r="D199" s="11" t="str">
        <f t="shared" si="9"/>
        <v>オープンソースGIMP入門 : 世界でもっとも有名なフリーソフトのひとつを使ってみよう / 市村匠, 河野優二, 岸保秀樹共著.-- セレンディップ.</v>
      </c>
      <c r="E199" s="11" t="str">
        <f>""</f>
        <v/>
      </c>
      <c r="F199" s="28" t="s">
        <v>8</v>
      </c>
      <c r="G199" s="29" t="str">
        <f t="shared" si="12"/>
        <v>007.6/ｲﾁ</v>
      </c>
      <c r="H199" s="10" t="str">
        <f t="shared" si="13"/>
        <v>2004/10/06</v>
      </c>
      <c r="I199" s="12">
        <v>3213</v>
      </c>
      <c r="J199" s="12">
        <v>100</v>
      </c>
      <c r="K199" s="10" t="str">
        <f t="shared" si="11"/>
        <v>1  和書</v>
      </c>
      <c r="L199" s="13"/>
    </row>
    <row r="200" spans="1:12" ht="24" x14ac:dyDescent="0.15">
      <c r="A200" s="36">
        <v>199</v>
      </c>
      <c r="B200" s="3" t="s">
        <v>16</v>
      </c>
      <c r="C200" s="10" t="str">
        <f>"0002757063"</f>
        <v>0002757063</v>
      </c>
      <c r="D200" s="11" t="str">
        <f t="shared" si="9"/>
        <v>オープンソースGIMP入門 : 世界でもっとも有名なフリーソフトのひとつを使ってみよう / 市村匠, 河野優二, 岸保秀樹共著.-- セレンディップ.</v>
      </c>
      <c r="E200" s="11" t="str">
        <f>""</f>
        <v/>
      </c>
      <c r="F200" s="28" t="s">
        <v>8</v>
      </c>
      <c r="G200" s="29" t="str">
        <f t="shared" si="12"/>
        <v>007.6/ｲﾁ</v>
      </c>
      <c r="H200" s="10" t="str">
        <f t="shared" si="13"/>
        <v>2004/10/06</v>
      </c>
      <c r="I200" s="12">
        <v>3213</v>
      </c>
      <c r="J200" s="12">
        <v>100</v>
      </c>
      <c r="K200" s="10" t="str">
        <f t="shared" si="11"/>
        <v>1  和書</v>
      </c>
      <c r="L200" s="13"/>
    </row>
    <row r="201" spans="1:12" ht="24" x14ac:dyDescent="0.15">
      <c r="A201" s="36">
        <v>200</v>
      </c>
      <c r="B201" s="3" t="s">
        <v>16</v>
      </c>
      <c r="C201" s="10" t="str">
        <f>"0002757070"</f>
        <v>0002757070</v>
      </c>
      <c r="D201" s="11" t="str">
        <f t="shared" si="9"/>
        <v>オープンソースGIMP入門 : 世界でもっとも有名なフリーソフトのひとつを使ってみよう / 市村匠, 河野優二, 岸保秀樹共著.-- セレンディップ.</v>
      </c>
      <c r="E201" s="11" t="str">
        <f>""</f>
        <v/>
      </c>
      <c r="F201" s="28" t="s">
        <v>8</v>
      </c>
      <c r="G201" s="29" t="str">
        <f t="shared" si="12"/>
        <v>007.6/ｲﾁ</v>
      </c>
      <c r="H201" s="10" t="str">
        <f t="shared" si="13"/>
        <v>2004/10/06</v>
      </c>
      <c r="I201" s="12">
        <v>3213</v>
      </c>
      <c r="J201" s="12">
        <v>100</v>
      </c>
      <c r="K201" s="10" t="str">
        <f t="shared" si="11"/>
        <v>1  和書</v>
      </c>
      <c r="L201" s="13"/>
    </row>
    <row r="202" spans="1:12" ht="24" x14ac:dyDescent="0.15">
      <c r="A202" s="36">
        <v>201</v>
      </c>
      <c r="B202" s="3" t="s">
        <v>16</v>
      </c>
      <c r="C202" s="10" t="str">
        <f>"0002757087"</f>
        <v>0002757087</v>
      </c>
      <c r="D202" s="11" t="str">
        <f t="shared" si="9"/>
        <v>オープンソースGIMP入門 : 世界でもっとも有名なフリーソフトのひとつを使ってみよう / 市村匠, 河野優二, 岸保秀樹共著.-- セレンディップ.</v>
      </c>
      <c r="E202" s="11" t="str">
        <f>""</f>
        <v/>
      </c>
      <c r="F202" s="28" t="s">
        <v>8</v>
      </c>
      <c r="G202" s="29" t="str">
        <f t="shared" si="12"/>
        <v>007.6/ｲﾁ</v>
      </c>
      <c r="H202" s="10" t="str">
        <f t="shared" si="13"/>
        <v>2004/10/06</v>
      </c>
      <c r="I202" s="12">
        <v>3213</v>
      </c>
      <c r="J202" s="12">
        <v>100</v>
      </c>
      <c r="K202" s="10" t="str">
        <f t="shared" si="11"/>
        <v>1  和書</v>
      </c>
      <c r="L202" s="13"/>
    </row>
    <row r="203" spans="1:12" x14ac:dyDescent="0.15">
      <c r="A203" s="36">
        <v>202</v>
      </c>
      <c r="B203" s="3" t="s">
        <v>16</v>
      </c>
      <c r="C203" s="10" t="str">
        <f>"0001264227"</f>
        <v>0001264227</v>
      </c>
      <c r="D203" s="11" t="str">
        <f>"Solarisシステム管理入門 / Janice Winsor著.-- インプレス."</f>
        <v>Solarisシステム管理入門 / Janice Winsor著.-- インプレス.</v>
      </c>
      <c r="E203" s="11" t="str">
        <f>""</f>
        <v/>
      </c>
      <c r="F203" s="28" t="s">
        <v>8</v>
      </c>
      <c r="G203" s="29" t="str">
        <f>"007.6/ｳｲ"</f>
        <v>007.6/ｳｲ</v>
      </c>
      <c r="H203" s="10" t="str">
        <f>"1996/02/23"</f>
        <v>1996/02/23</v>
      </c>
      <c r="I203" s="12">
        <v>2520</v>
      </c>
      <c r="J203" s="12">
        <v>100</v>
      </c>
      <c r="K203" s="10" t="str">
        <f t="shared" si="11"/>
        <v>1  和書</v>
      </c>
      <c r="L203" s="13"/>
    </row>
    <row r="204" spans="1:12" ht="24" x14ac:dyDescent="0.15">
      <c r="A204" s="36">
        <v>203</v>
      </c>
      <c r="B204" s="3" t="s">
        <v>16</v>
      </c>
      <c r="C204" s="10" t="str">
        <f>"0001264234"</f>
        <v>0001264234</v>
      </c>
      <c r="D204" s="11" t="str">
        <f>"Solaris上級システム管理 / Janice Winsor著 ; スーパーアスキー編集部訳.-- アスキー; 1995.2.-- (サンソフトプレスシリーズ)."</f>
        <v>Solaris上級システム管理 / Janice Winsor著 ; スーパーアスキー編集部訳.-- アスキー; 1995.2.-- (サンソフトプレスシリーズ).</v>
      </c>
      <c r="E204" s="11" t="str">
        <f>""</f>
        <v/>
      </c>
      <c r="F204" s="28" t="s">
        <v>8</v>
      </c>
      <c r="G204" s="29" t="str">
        <f>"007.6/ｳｲ"</f>
        <v>007.6/ｳｲ</v>
      </c>
      <c r="H204" s="10" t="str">
        <f>"1996/02/23"</f>
        <v>1996/02/23</v>
      </c>
      <c r="I204" s="12">
        <v>3420</v>
      </c>
      <c r="J204" s="12">
        <v>100</v>
      </c>
      <c r="K204" s="10" t="str">
        <f t="shared" si="11"/>
        <v>1  和書</v>
      </c>
      <c r="L204" s="13"/>
    </row>
    <row r="205" spans="1:12" ht="36" x14ac:dyDescent="0.15">
      <c r="A205" s="36">
        <v>204</v>
      </c>
      <c r="B205" s="3" t="s">
        <v>16</v>
      </c>
      <c r="C205" s="4" t="str">
        <f>"0002770062"</f>
        <v>0002770062</v>
      </c>
      <c r="D205" s="5" t="str">
        <f>"3次元コンピュータ・アニメーションの原理 : 3Dコンピュータグラフィックスによるモデリング、レンダリング、アニメーション / M. オローク著 ; 袋谷賢吉, 大久保篤志共訳.-- 第2版.-- 近代科学社; 2000.11."</f>
        <v>3次元コンピュータ・アニメーションの原理 : 3Dコンピュータグラフィックスによるモデリング、レンダリング、アニメーション / M. オローク著 ; 袋谷賢吉, 大久保篤志共訳.-- 第2版.-- 近代科学社; 2000.11.</v>
      </c>
      <c r="E205" s="5" t="str">
        <f>""</f>
        <v/>
      </c>
      <c r="F205" s="26"/>
      <c r="G205" s="27" t="str">
        <f>"007.6/ｵﾛ"</f>
        <v>007.6/ｵﾛ</v>
      </c>
      <c r="H205" s="4" t="str">
        <f>"2007/05/08"</f>
        <v>2007/05/08</v>
      </c>
      <c r="I205" s="6">
        <v>3024</v>
      </c>
      <c r="J205" s="6">
        <v>100</v>
      </c>
      <c r="K205" s="4" t="str">
        <f t="shared" si="11"/>
        <v>1  和書</v>
      </c>
      <c r="L205" s="7"/>
    </row>
    <row r="206" spans="1:12" ht="24" x14ac:dyDescent="0.15">
      <c r="A206" s="36">
        <v>205</v>
      </c>
      <c r="B206" s="3" t="s">
        <v>16</v>
      </c>
      <c r="C206" s="4" t="str">
        <f>"0001676570"</f>
        <v>0001676570</v>
      </c>
      <c r="D206" s="5" t="str">
        <f>"ワークステーションでの暮らし方 : インターネット時代のUNIX入門 / 九州工業大学情報科学センター編.-- 朝倉書店; 1997.4."</f>
        <v>ワークステーションでの暮らし方 : インターネット時代のUNIX入門 / 九州工業大学情報科学センター編.-- 朝倉書店; 1997.4.</v>
      </c>
      <c r="E206" s="5" t="str">
        <f>""</f>
        <v/>
      </c>
      <c r="F206" s="26"/>
      <c r="G206" s="27" t="str">
        <f>"007.6/ｷﾕ"</f>
        <v>007.6/ｷﾕ</v>
      </c>
      <c r="H206" s="4" t="str">
        <f>"1998/07/24"</f>
        <v>1998/07/24</v>
      </c>
      <c r="I206" s="6">
        <v>2551</v>
      </c>
      <c r="J206" s="6">
        <v>100</v>
      </c>
      <c r="K206" s="4" t="str">
        <f t="shared" si="11"/>
        <v>1  和書</v>
      </c>
      <c r="L206" s="7"/>
    </row>
    <row r="207" spans="1:12" ht="36" x14ac:dyDescent="0.15">
      <c r="A207" s="36">
        <v>206</v>
      </c>
      <c r="B207" s="3" t="s">
        <v>16</v>
      </c>
      <c r="C207" s="10" t="str">
        <f>"0002264301"</f>
        <v>0002264301</v>
      </c>
      <c r="D207" s="11" t="str">
        <f>"Solarisセキュリティ入門 : システム管理者のためのハンドブック / ピーター・H.グレゴリー著 ; SNS Solaris Security翻訳チーム訳 ; 坂井順行監修.-- 翔泳社; 2001.1.-- (Professional library ; Solaris)."</f>
        <v>Solarisセキュリティ入門 : システム管理者のためのハンドブック / ピーター・H.グレゴリー著 ; SNS Solaris Security翻訳チーム訳 ; 坂井順行監修.-- 翔泳社; 2001.1.-- (Professional library ; Solaris).</v>
      </c>
      <c r="E207" s="11" t="str">
        <f>""</f>
        <v/>
      </c>
      <c r="F207" s="28" t="s">
        <v>8</v>
      </c>
      <c r="G207" s="29" t="str">
        <f>"007.6/ｸﾞﾚ"</f>
        <v>007.6/ｸﾞﾚ</v>
      </c>
      <c r="H207" s="10" t="str">
        <f>"2001/02/13"</f>
        <v>2001/02/13</v>
      </c>
      <c r="I207" s="12">
        <v>3024</v>
      </c>
      <c r="J207" s="12">
        <v>100</v>
      </c>
      <c r="K207" s="10" t="str">
        <f t="shared" si="11"/>
        <v>1  和書</v>
      </c>
      <c r="L207" s="13"/>
    </row>
    <row r="208" spans="1:12" ht="24" x14ac:dyDescent="0.15">
      <c r="A208" s="36">
        <v>207</v>
      </c>
      <c r="B208" s="3" t="s">
        <v>16</v>
      </c>
      <c r="C208" s="4" t="str">
        <f>"0002256283"</f>
        <v>0002256283</v>
      </c>
      <c r="D208" s="5" t="str">
        <f>"Computer graphics : 技術編CG標準テキストブック / [安生健一ほか執筆].-- 画像情報教育振興協会; 1999.3."</f>
        <v>Computer graphics : 技術編CG標準テキストブック / [安生健一ほか執筆].-- 画像情報教育振興協会; 1999.3.</v>
      </c>
      <c r="E208" s="5" t="str">
        <f>""</f>
        <v/>
      </c>
      <c r="F208" s="26"/>
      <c r="G208" s="27" t="str">
        <f>"007.6/ｺﾝ"</f>
        <v>007.6/ｺﾝ</v>
      </c>
      <c r="H208" s="4" t="str">
        <f>"2000/07/04"</f>
        <v>2000/07/04</v>
      </c>
      <c r="I208" s="6">
        <v>3150</v>
      </c>
      <c r="J208" s="6">
        <v>100</v>
      </c>
      <c r="K208" s="4" t="str">
        <f t="shared" si="11"/>
        <v>1  和書</v>
      </c>
      <c r="L208" s="7"/>
    </row>
    <row r="209" spans="1:12" ht="24" x14ac:dyDescent="0.15">
      <c r="A209" s="36">
        <v>208</v>
      </c>
      <c r="B209" s="3" t="s">
        <v>16</v>
      </c>
      <c r="C209" s="4" t="str">
        <f>"0002766799"</f>
        <v>0002766799</v>
      </c>
      <c r="D209" s="5" t="str">
        <f>"写真から作る3次元CG : イメージ・ベースド・モデリング&amp;レンダリング / 徐剛著.-- 近代科学社; 2001.1."</f>
        <v>写真から作る3次元CG : イメージ・ベースド・モデリング&amp;レンダリング / 徐剛著.-- 近代科学社; 2001.1.</v>
      </c>
      <c r="E209" s="5" t="str">
        <f>""</f>
        <v/>
      </c>
      <c r="F209" s="26"/>
      <c r="G209" s="27" t="str">
        <f>"007.6/ｼﾞﾖ"</f>
        <v>007.6/ｼﾞﾖ</v>
      </c>
      <c r="H209" s="4" t="str">
        <f>"2006/09/06"</f>
        <v>2006/09/06</v>
      </c>
      <c r="I209" s="6">
        <v>2362</v>
      </c>
      <c r="J209" s="6">
        <v>100</v>
      </c>
      <c r="K209" s="4" t="str">
        <f t="shared" si="11"/>
        <v>1  和書</v>
      </c>
      <c r="L209" s="7"/>
    </row>
    <row r="210" spans="1:12" x14ac:dyDescent="0.15">
      <c r="A210" s="36">
        <v>209</v>
      </c>
      <c r="B210" s="3" t="s">
        <v>16</v>
      </c>
      <c r="C210" s="4" t="str">
        <f>"0000885867"</f>
        <v>0000885867</v>
      </c>
      <c r="D210" s="5" t="str">
        <f>"情報処理ハンドブック / 情報処理学会編.-- 新版.-- オーム社; 1995.11."</f>
        <v>情報処理ハンドブック / 情報処理学会編.-- 新版.-- オーム社; 1995.11.</v>
      </c>
      <c r="E210" s="5" t="str">
        <f>""</f>
        <v/>
      </c>
      <c r="F210" s="26"/>
      <c r="G210" s="27" t="str">
        <f>"R007.6/ｼﾞﾖ"</f>
        <v>R007.6/ｼﾞﾖ</v>
      </c>
      <c r="H210" s="4" t="str">
        <f>"1995/12/13"</f>
        <v>1995/12/13</v>
      </c>
      <c r="I210" s="6">
        <v>35000</v>
      </c>
      <c r="J210" s="8">
        <v>1000</v>
      </c>
      <c r="K210" s="4" t="str">
        <f t="shared" si="11"/>
        <v>1  和書</v>
      </c>
      <c r="L210" s="7"/>
    </row>
    <row r="211" spans="1:12" ht="24" x14ac:dyDescent="0.15">
      <c r="A211" s="36">
        <v>210</v>
      </c>
      <c r="B211" s="3" t="s">
        <v>16</v>
      </c>
      <c r="C211" s="4" t="str">
        <f>"0002287737"</f>
        <v>0002287737</v>
      </c>
      <c r="D211" s="5" t="str">
        <f>"例題で学ぶMathematica / 白石修二著 ; 数学編, グラフィックス編, 基礎プログラム編.-- 森北出版; 1995.10-2000.6."</f>
        <v>例題で学ぶMathematica / 白石修二著 ; 数学編, グラフィックス編, 基礎プログラム編.-- 森北出版; 1995.10-2000.6.</v>
      </c>
      <c r="E211" s="5" t="str">
        <f>"数学編"</f>
        <v>数学編</v>
      </c>
      <c r="F211" s="26"/>
      <c r="G211" s="27" t="str">
        <f>"007.6/ｼﾗ/1"</f>
        <v>007.6/ｼﾗ/1</v>
      </c>
      <c r="H211" s="4" t="str">
        <f>"2002/10/30"</f>
        <v>2002/10/30</v>
      </c>
      <c r="I211" s="6">
        <v>2362</v>
      </c>
      <c r="J211" s="6">
        <v>100</v>
      </c>
      <c r="K211" s="4" t="str">
        <f t="shared" si="11"/>
        <v>1  和書</v>
      </c>
      <c r="L211" s="7"/>
    </row>
    <row r="212" spans="1:12" ht="24" x14ac:dyDescent="0.15">
      <c r="A212" s="36">
        <v>211</v>
      </c>
      <c r="B212" s="3" t="s">
        <v>16</v>
      </c>
      <c r="C212" s="4" t="str">
        <f>"0002287744"</f>
        <v>0002287744</v>
      </c>
      <c r="D212" s="5" t="str">
        <f>"例題で学ぶMathematica / 白石修二著 ; 数学編, グラフィックス編, 基礎プログラム編.-- 森北出版; 1995.10-2000.6."</f>
        <v>例題で学ぶMathematica / 白石修二著 ; 数学編, グラフィックス編, 基礎プログラム編.-- 森北出版; 1995.10-2000.6.</v>
      </c>
      <c r="E212" s="5" t="str">
        <f>"グラフィックス編"</f>
        <v>グラフィックス編</v>
      </c>
      <c r="F212" s="26"/>
      <c r="G212" s="27" t="str">
        <f>"007.6/ｼﾗ/2"</f>
        <v>007.6/ｼﾗ/2</v>
      </c>
      <c r="H212" s="4" t="str">
        <f>"2002/10/30"</f>
        <v>2002/10/30</v>
      </c>
      <c r="I212" s="6">
        <v>2268</v>
      </c>
      <c r="J212" s="6">
        <v>100</v>
      </c>
      <c r="K212" s="4" t="str">
        <f t="shared" si="11"/>
        <v>1  和書</v>
      </c>
      <c r="L212" s="7"/>
    </row>
    <row r="213" spans="1:12" x14ac:dyDescent="0.15">
      <c r="A213" s="36">
        <v>212</v>
      </c>
      <c r="B213" s="3" t="s">
        <v>16</v>
      </c>
      <c r="C213" s="4" t="str">
        <f>"0002292335"</f>
        <v>0002292335</v>
      </c>
      <c r="D213" s="5" t="str">
        <f>"マルチメディアデータ入門 / 常盤繁著.-- コロナ社; 2003.4."</f>
        <v>マルチメディアデータ入門 / 常盤繁著.-- コロナ社; 2003.4.</v>
      </c>
      <c r="E213" s="5" t="str">
        <f>""</f>
        <v/>
      </c>
      <c r="F213" s="26"/>
      <c r="G213" s="27" t="str">
        <f>"007.6/ﾄｷ"</f>
        <v>007.6/ﾄｷ</v>
      </c>
      <c r="H213" s="4" t="str">
        <f>"2003/03/27"</f>
        <v>2003/03/27</v>
      </c>
      <c r="I213" s="6">
        <v>4725</v>
      </c>
      <c r="J213" s="6">
        <v>100</v>
      </c>
      <c r="K213" s="4" t="str">
        <f t="shared" si="11"/>
        <v>1  和書</v>
      </c>
      <c r="L213" s="7"/>
    </row>
    <row r="214" spans="1:12" ht="24" x14ac:dyDescent="0.15">
      <c r="A214" s="36">
        <v>213</v>
      </c>
      <c r="B214" s="3" t="s">
        <v>16</v>
      </c>
      <c r="C214" s="10" t="str">
        <f>"0002281100"</f>
        <v>0002281100</v>
      </c>
      <c r="D214" s="11" t="str">
        <f>"オフィシャルマニュアルMicrosoft Excel 2000 / Mark Dodge, Craig Stinson共著 ; 小川晃夫訳.-- 日経BPソフトプレス.-- (マイクロソフト公式解説書)."</f>
        <v>オフィシャルマニュアルMicrosoft Excel 2000 / Mark Dodge, Craig Stinson共著 ; 小川晃夫訳.-- 日経BPソフトプレス.-- (マイクロソフト公式解説書).</v>
      </c>
      <c r="E214" s="11" t="str">
        <f>""</f>
        <v/>
      </c>
      <c r="F214" s="28" t="s">
        <v>8</v>
      </c>
      <c r="G214" s="29" t="str">
        <f>"007.6/ﾄﾞﾂ"</f>
        <v>007.6/ﾄﾞﾂ</v>
      </c>
      <c r="H214" s="10" t="str">
        <f>"2002/03/20"</f>
        <v>2002/03/20</v>
      </c>
      <c r="I214" s="12">
        <v>4536</v>
      </c>
      <c r="J214" s="12">
        <v>100</v>
      </c>
      <c r="K214" s="10" t="str">
        <f t="shared" si="11"/>
        <v>1  和書</v>
      </c>
      <c r="L214" s="13"/>
    </row>
    <row r="215" spans="1:12" ht="24" x14ac:dyDescent="0.15">
      <c r="A215" s="36">
        <v>214</v>
      </c>
      <c r="B215" s="3" t="s">
        <v>16</v>
      </c>
      <c r="C215" s="4" t="str">
        <f>"0002256627"</f>
        <v>0002256627</v>
      </c>
      <c r="D215" s="5" t="str">
        <f>"3次元コンピュータグラフィックス / 中前栄八郎, 西田友是共著.-- 昭晃堂; 1986.5."</f>
        <v>3次元コンピュータグラフィックス / 中前栄八郎, 西田友是共著.-- 昭晃堂; 1986.5.</v>
      </c>
      <c r="E215" s="5" t="str">
        <f>""</f>
        <v/>
      </c>
      <c r="F215" s="26"/>
      <c r="G215" s="27" t="str">
        <f>"007.6/ﾅｶ"</f>
        <v>007.6/ﾅｶ</v>
      </c>
      <c r="H215" s="4" t="str">
        <f>"2000/07/11"</f>
        <v>2000/07/11</v>
      </c>
      <c r="I215" s="6">
        <v>4252</v>
      </c>
      <c r="J215" s="6">
        <v>100</v>
      </c>
      <c r="K215" s="4" t="str">
        <f t="shared" si="11"/>
        <v>1  和書</v>
      </c>
      <c r="L215" s="7"/>
    </row>
    <row r="216" spans="1:12" ht="36" x14ac:dyDescent="0.15">
      <c r="A216" s="36">
        <v>215</v>
      </c>
      <c r="B216" s="3" t="s">
        <v>16</v>
      </c>
      <c r="C216" s="10" t="str">
        <f>"0002252124"</f>
        <v>0002252124</v>
      </c>
      <c r="D216" s="11" t="str">
        <f>"FreeBSD徹底活用 : PC-UNIXを本当に使いこなしたいあなたに / 天川修平 [ほか] 著 ; 1 : ネットワーク編, 2 : アプリケーション編.-- 翔泳社; 1998.10-1999.12."</f>
        <v>FreeBSD徹底活用 : PC-UNIXを本当に使いこなしたいあなたに / 天川修平 [ほか] 著 ; 1 : ネットワーク編, 2 : アプリケーション編.-- 翔泳社; 1998.10-1999.12.</v>
      </c>
      <c r="E216" s="11" t="str">
        <f>"2 : アプリケーション編"</f>
        <v>2 : アプリケーション編</v>
      </c>
      <c r="F216" s="28" t="s">
        <v>8</v>
      </c>
      <c r="G216" s="29" t="str">
        <f>"007.6/ﾌﾘ/2"</f>
        <v>007.6/ﾌﾘ/2</v>
      </c>
      <c r="H216" s="10" t="str">
        <f>"2000/01/26"</f>
        <v>2000/01/26</v>
      </c>
      <c r="I216" s="12">
        <v>3024</v>
      </c>
      <c r="J216" s="12">
        <v>100</v>
      </c>
      <c r="K216" s="10" t="str">
        <f t="shared" si="11"/>
        <v>1  和書</v>
      </c>
      <c r="L216" s="13"/>
    </row>
    <row r="217" spans="1:12" ht="24" x14ac:dyDescent="0.15">
      <c r="A217" s="36">
        <v>216</v>
      </c>
      <c r="B217" s="3" t="s">
        <v>16</v>
      </c>
      <c r="C217" s="10" t="str">
        <f>"0002266312"</f>
        <v>0002266312</v>
      </c>
      <c r="D217" s="11" t="str">
        <f>"コンピュータグラフィックス理論と実践 / James D. Foley [ほか] 共著 ; 佐藤義雄監訳.-- オーム社; 2001.3."</f>
        <v>コンピュータグラフィックス理論と実践 / James D. Foley [ほか] 共著 ; 佐藤義雄監訳.-- オーム社; 2001.3.</v>
      </c>
      <c r="E217" s="11" t="str">
        <f>""</f>
        <v/>
      </c>
      <c r="F217" s="28" t="s">
        <v>8</v>
      </c>
      <c r="G217" s="29" t="str">
        <f>"007.6/ﾎﾘ"</f>
        <v>007.6/ﾎﾘ</v>
      </c>
      <c r="H217" s="10" t="str">
        <f>"2001/04/24"</f>
        <v>2001/04/24</v>
      </c>
      <c r="I217" s="12">
        <v>11340</v>
      </c>
      <c r="J217" s="14">
        <v>500</v>
      </c>
      <c r="K217" s="10" t="str">
        <f t="shared" si="11"/>
        <v>1  和書</v>
      </c>
      <c r="L217" s="13"/>
    </row>
    <row r="218" spans="1:12" ht="24" x14ac:dyDescent="0.15">
      <c r="A218" s="36">
        <v>217</v>
      </c>
      <c r="B218" s="3" t="s">
        <v>16</v>
      </c>
      <c r="C218" s="10" t="str">
        <f>"0002281216"</f>
        <v>0002281216</v>
      </c>
      <c r="D218" s="11" t="str">
        <f>"FreeBSDコマンドスーパーリファレンス / 前田雄一郎, 田谷文彦著.-- ソフトバンクパブリッシング; 2000.12."</f>
        <v>FreeBSDコマンドスーパーリファレンス / 前田雄一郎, 田谷文彦著.-- ソフトバンクパブリッシング; 2000.12.</v>
      </c>
      <c r="E218" s="11" t="str">
        <f>""</f>
        <v/>
      </c>
      <c r="F218" s="28" t="s">
        <v>8</v>
      </c>
      <c r="G218" s="29" t="str">
        <f>"007.6/ﾏｴ"</f>
        <v>007.6/ﾏｴ</v>
      </c>
      <c r="H218" s="10" t="str">
        <f>"2002/03/20"</f>
        <v>2002/03/20</v>
      </c>
      <c r="I218" s="12">
        <v>2268</v>
      </c>
      <c r="J218" s="12">
        <v>100</v>
      </c>
      <c r="K218" s="10" t="str">
        <f t="shared" si="11"/>
        <v>1  和書</v>
      </c>
      <c r="L218" s="13"/>
    </row>
    <row r="219" spans="1:12" ht="24" x14ac:dyDescent="0.15">
      <c r="A219" s="36">
        <v>218</v>
      </c>
      <c r="B219" s="3" t="s">
        <v>16</v>
      </c>
      <c r="C219" s="10" t="str">
        <f>"0000476430"</f>
        <v>0000476430</v>
      </c>
      <c r="D219" s="11" t="str">
        <f>"Solaris2.2技術解説 : 最新UNIX OS / 増月孝信著.-- ソフト・リサーチ・センター; 1993.7."</f>
        <v>Solaris2.2技術解説 : 最新UNIX OS / 増月孝信著.-- ソフト・リサーチ・センター; 1993.7.</v>
      </c>
      <c r="E219" s="11" t="str">
        <f>""</f>
        <v/>
      </c>
      <c r="F219" s="28" t="s">
        <v>8</v>
      </c>
      <c r="G219" s="29" t="str">
        <f>"007.6/ﾏｽ"</f>
        <v>007.6/ﾏｽ</v>
      </c>
      <c r="H219" s="10" t="str">
        <f>"1994/08/15"</f>
        <v>1994/08/15</v>
      </c>
      <c r="I219" s="12">
        <v>4320</v>
      </c>
      <c r="J219" s="12">
        <v>100</v>
      </c>
      <c r="K219" s="10" t="str">
        <f t="shared" si="11"/>
        <v>1  和書</v>
      </c>
      <c r="L219" s="13"/>
    </row>
    <row r="220" spans="1:12" ht="24" x14ac:dyDescent="0.15">
      <c r="A220" s="36">
        <v>219</v>
      </c>
      <c r="B220" s="3" t="s">
        <v>16</v>
      </c>
      <c r="C220" s="10" t="str">
        <f>"0002281193"</f>
        <v>0002281193</v>
      </c>
      <c r="D220" s="11" t="str">
        <f>"Solarisコマンドスーパーリファレンス / ジョン・P.マリガン著 ; 葛西重夫訳.-- ソフトバンクパブリッシング; 2000.9.-- (Super reference)."</f>
        <v>Solarisコマンドスーパーリファレンス / ジョン・P.マリガン著 ; 葛西重夫訳.-- ソフトバンクパブリッシング; 2000.9.-- (Super reference).</v>
      </c>
      <c r="E220" s="11" t="str">
        <f>""</f>
        <v/>
      </c>
      <c r="F220" s="28" t="s">
        <v>8</v>
      </c>
      <c r="G220" s="29" t="str">
        <f>"007.6/ﾏﾘ"</f>
        <v>007.6/ﾏﾘ</v>
      </c>
      <c r="H220" s="10" t="str">
        <f>"2002/03/18"</f>
        <v>2002/03/18</v>
      </c>
      <c r="I220" s="12">
        <v>2646</v>
      </c>
      <c r="J220" s="12">
        <v>100</v>
      </c>
      <c r="K220" s="10" t="str">
        <f t="shared" si="11"/>
        <v>1  和書</v>
      </c>
      <c r="L220" s="13"/>
    </row>
    <row r="221" spans="1:12" ht="36" x14ac:dyDescent="0.15">
      <c r="A221" s="36">
        <v>220</v>
      </c>
      <c r="B221" s="3" t="s">
        <v>16</v>
      </c>
      <c r="C221" s="4" t="str">
        <f>"0002765297"</f>
        <v>0002765297</v>
      </c>
      <c r="D221" s="5" t="str">
        <f>"GIMP/GNUPLOT/Tgifで学ぶグラフィック処理 : UNIXグラフィックツール入門 / 皆本晃弥, 坂上貴之共著.-- サイエンス社; 1999.12.-- (Information &amp; computing ; ex.-22)."</f>
        <v>GIMP/GNUPLOT/Tgifで学ぶグラフィック処理 : UNIXグラフィックツール入門 / 皆本晃弥, 坂上貴之共著.-- サイエンス社; 1999.12.-- (Information &amp; computing ; ex.-22).</v>
      </c>
      <c r="E221" s="5" t="str">
        <f>""</f>
        <v/>
      </c>
      <c r="F221" s="26"/>
      <c r="G221" s="27" t="str">
        <f>"007.6/ﾐﾅ"</f>
        <v>007.6/ﾐﾅ</v>
      </c>
      <c r="H221" s="4" t="str">
        <f>"2006/05/08"</f>
        <v>2006/05/08</v>
      </c>
      <c r="I221" s="6">
        <v>2079</v>
      </c>
      <c r="J221" s="6">
        <v>100</v>
      </c>
      <c r="K221" s="4" t="str">
        <f t="shared" si="11"/>
        <v>1  和書</v>
      </c>
      <c r="L221" s="7"/>
    </row>
    <row r="222" spans="1:12" ht="36" x14ac:dyDescent="0.15">
      <c r="A222" s="36">
        <v>221</v>
      </c>
      <c r="B222" s="3" t="s">
        <v>16</v>
      </c>
      <c r="C222" s="10" t="str">
        <f>"0002280745"</f>
        <v>0002280745</v>
      </c>
      <c r="D222" s="11" t="str">
        <f>"SOLARISインターナル : カーネル構造のすべて / ジム・モーロ, リチャード・マクドゥーガル著 ; 福本秀 [ほか] 訳.-- ピアソン・エデュケーション; 2001.12."</f>
        <v>SOLARISインターナル : カーネル構造のすべて / ジム・モーロ, リチャード・マクドゥーガル著 ; 福本秀 [ほか] 訳.-- ピアソン・エデュケーション; 2001.12.</v>
      </c>
      <c r="E222" s="11" t="str">
        <f>""</f>
        <v/>
      </c>
      <c r="F222" s="28" t="s">
        <v>8</v>
      </c>
      <c r="G222" s="29" t="str">
        <f>"007.6/ﾓﾛ"</f>
        <v>007.6/ﾓﾛ</v>
      </c>
      <c r="H222" s="10" t="str">
        <f>"2002/03/11"</f>
        <v>2002/03/11</v>
      </c>
      <c r="I222" s="12">
        <v>5859</v>
      </c>
      <c r="J222" s="12">
        <v>100</v>
      </c>
      <c r="K222" s="10" t="str">
        <f t="shared" si="11"/>
        <v>1  和書</v>
      </c>
      <c r="L222" s="13"/>
    </row>
    <row r="223" spans="1:12" ht="24" x14ac:dyDescent="0.15">
      <c r="A223" s="36">
        <v>222</v>
      </c>
      <c r="B223" s="3" t="s">
        <v>16</v>
      </c>
      <c r="C223" s="10" t="str">
        <f>"0002281254"</f>
        <v>0002281254</v>
      </c>
      <c r="D223" s="11" t="str">
        <f>"オフィシャルマニュアルMicrosoft Word 2000 / Charles Rubin著 ; ユニゾン訳.-- 日経BPソフトプレス.-- (マイクロソフト公式解説書)."</f>
        <v>オフィシャルマニュアルMicrosoft Word 2000 / Charles Rubin著 ; ユニゾン訳.-- 日経BPソフトプレス.-- (マイクロソフト公式解説書).</v>
      </c>
      <c r="E223" s="11" t="str">
        <f>""</f>
        <v/>
      </c>
      <c r="F223" s="28" t="s">
        <v>8</v>
      </c>
      <c r="G223" s="29" t="str">
        <f>"007.6/ﾙﾋﾞ"</f>
        <v>007.6/ﾙﾋﾞ</v>
      </c>
      <c r="H223" s="10" t="str">
        <f>"2002/03/19"</f>
        <v>2002/03/19</v>
      </c>
      <c r="I223" s="12">
        <v>4536</v>
      </c>
      <c r="J223" s="12">
        <v>100</v>
      </c>
      <c r="K223" s="10" t="str">
        <f t="shared" si="11"/>
        <v>1  和書</v>
      </c>
      <c r="L223" s="13"/>
    </row>
    <row r="224" spans="1:12" ht="24" x14ac:dyDescent="0.15">
      <c r="A224" s="36">
        <v>223</v>
      </c>
      <c r="B224" s="3" t="s">
        <v>16</v>
      </c>
      <c r="C224" s="10" t="str">
        <f>"0001289091"</f>
        <v>0001289091</v>
      </c>
      <c r="D224" s="11" t="str">
        <f>"Parallel computation : models and methods / Selim G. Akl.-- Prentice Hall; c1997."</f>
        <v>Parallel computation : models and methods / Selim G. Akl.-- Prentice Hall; c1997.</v>
      </c>
      <c r="E224" s="11" t="str">
        <f>""</f>
        <v/>
      </c>
      <c r="F224" s="28" t="s">
        <v>8</v>
      </c>
      <c r="G224" s="29" t="str">
        <f>"007.6/AK"</f>
        <v>007.6/AK</v>
      </c>
      <c r="H224" s="10" t="str">
        <f>"1997/04/24"</f>
        <v>1997/04/24</v>
      </c>
      <c r="I224" s="12">
        <v>10546</v>
      </c>
      <c r="J224" s="14">
        <v>500</v>
      </c>
      <c r="K224" s="10" t="str">
        <f t="shared" ref="K224:K258" si="14">"2  洋書"</f>
        <v>2  洋書</v>
      </c>
      <c r="L224" s="13"/>
    </row>
    <row r="225" spans="1:12" ht="36" x14ac:dyDescent="0.15">
      <c r="A225" s="36">
        <v>224</v>
      </c>
      <c r="B225" s="3" t="s">
        <v>16</v>
      </c>
      <c r="C225" s="4" t="str">
        <f>"0001670554"</f>
        <v>0001670554</v>
      </c>
      <c r="D225" s="5" t="str">
        <f>"Expert systems and probabilistic network models / Enrique Castillo, Jos◆U00E9◆ Manuel Guti◆U00E9◆rrez, Ali S. Hadi.-- Springer; c1997.-- (Monographs in computer science)."</f>
        <v>Expert systems and probabilistic network models / Enrique Castillo, Jos◆U00E9◆ Manuel Guti◆U00E9◆rrez, Ali S. Hadi.-- Springer; c1997.-- (Monographs in computer science).</v>
      </c>
      <c r="E225" s="5" t="str">
        <f>""</f>
        <v/>
      </c>
      <c r="F225" s="26"/>
      <c r="G225" s="27" t="str">
        <f>"007.6/CA"</f>
        <v>007.6/CA</v>
      </c>
      <c r="H225" s="4" t="str">
        <f>"1998/04/28"</f>
        <v>1998/04/28</v>
      </c>
      <c r="I225" s="6">
        <v>9724</v>
      </c>
      <c r="J225" s="6">
        <v>100</v>
      </c>
      <c r="K225" s="4" t="str">
        <f t="shared" si="14"/>
        <v>2  洋書</v>
      </c>
      <c r="L225" s="7"/>
    </row>
    <row r="226" spans="1:12" ht="36" x14ac:dyDescent="0.15">
      <c r="A226" s="36">
        <v>225</v>
      </c>
      <c r="B226" s="3" t="s">
        <v>16</v>
      </c>
      <c r="C226" s="10" t="str">
        <f>"0000877206"</f>
        <v>0000877206</v>
      </c>
      <c r="D226" s="11" t="str">
        <f>"Parallel computers : theory and practice / edited by Thomas L. Casavant, Pavel Tvrd◆U00ED◆k, Franti◆U0161◆ek Pl◆U00E1◆◆U0161◆il.-- IEEE Computer Society Press; c1996."</f>
        <v>Parallel computers : theory and practice / edited by Thomas L. Casavant, Pavel Tvrd◆U00ED◆k, Franti◆U0161◆ek Pl◆U00E1◆◆U0161◆il.-- IEEE Computer Society Press; c1996.</v>
      </c>
      <c r="E226" s="11" t="str">
        <f>""</f>
        <v/>
      </c>
      <c r="F226" s="28" t="s">
        <v>8</v>
      </c>
      <c r="G226" s="29" t="str">
        <f>"007.6/CA"</f>
        <v>007.6/CA</v>
      </c>
      <c r="H226" s="10" t="str">
        <f>"1995/10/27"</f>
        <v>1995/10/27</v>
      </c>
      <c r="I226" s="12">
        <v>7258</v>
      </c>
      <c r="J226" s="12">
        <v>100</v>
      </c>
      <c r="K226" s="10" t="str">
        <f t="shared" si="14"/>
        <v>2  洋書</v>
      </c>
      <c r="L226" s="13"/>
    </row>
    <row r="227" spans="1:12" ht="48" x14ac:dyDescent="0.15">
      <c r="A227" s="36">
        <v>226</v>
      </c>
      <c r="B227" s="3" t="s">
        <v>16</v>
      </c>
      <c r="C227" s="10" t="str">
        <f>"0001682830"</f>
        <v>0001682830</v>
      </c>
      <c r="D227" s="11" t="str">
        <f>"The Object database standard : ODMG 2.0 / edited by R.G.G. Cattell, Douglas K. Barry ; contributors, Dirk Bartels ... [et al.].-- Morgan Kaufmann Publishers; c1997.-- (The Morgan Kaufmann series in data management systems)."</f>
        <v>The Object database standard : ODMG 2.0 / edited by R.G.G. Cattell, Douglas K. Barry ; contributors, Dirk Bartels ... [et al.].-- Morgan Kaufmann Publishers; c1997.-- (The Morgan Kaufmann series in data management systems).</v>
      </c>
      <c r="E227" s="11" t="str">
        <f>""</f>
        <v/>
      </c>
      <c r="F227" s="28" t="s">
        <v>8</v>
      </c>
      <c r="G227" s="29" t="str">
        <f>"007.6/CA"</f>
        <v>007.6/CA</v>
      </c>
      <c r="H227" s="10" t="str">
        <f>"1998/11/17"</f>
        <v>1998/11/17</v>
      </c>
      <c r="I227" s="12">
        <v>6388</v>
      </c>
      <c r="J227" s="12">
        <v>100</v>
      </c>
      <c r="K227" s="10" t="str">
        <f t="shared" si="14"/>
        <v>2  洋書</v>
      </c>
      <c r="L227" s="13"/>
    </row>
    <row r="228" spans="1:12" ht="36" x14ac:dyDescent="0.15">
      <c r="A228" s="36">
        <v>227</v>
      </c>
      <c r="B228" s="3" t="s">
        <v>16</v>
      </c>
      <c r="C228" s="4" t="str">
        <f>"0000495936"</f>
        <v>0000495936</v>
      </c>
      <c r="D228" s="5" t="str">
        <f>"CSCW and artificial intelligence / John H. Connolly and Ernest A. Edmonds (eds.) ; : gw, : us.-- Springer-Verlag; c1994.-- (Computer supported cooperative work)."</f>
        <v>CSCW and artificial intelligence / John H. Connolly and Ernest A. Edmonds (eds.) ; : gw, : us.-- Springer-Verlag; c1994.-- (Computer supported cooperative work).</v>
      </c>
      <c r="E228" s="5" t="str">
        <f>": gw"</f>
        <v>: gw</v>
      </c>
      <c r="F228" s="26"/>
      <c r="G228" s="27" t="str">
        <f>"007.6/CO"</f>
        <v>007.6/CO</v>
      </c>
      <c r="H228" s="4" t="str">
        <f>"1994/11/01"</f>
        <v>1994/11/01</v>
      </c>
      <c r="I228" s="6">
        <v>7647</v>
      </c>
      <c r="J228" s="6">
        <v>100</v>
      </c>
      <c r="K228" s="4" t="str">
        <f t="shared" si="14"/>
        <v>2  洋書</v>
      </c>
      <c r="L228" s="7"/>
    </row>
    <row r="229" spans="1:12" ht="36" x14ac:dyDescent="0.15">
      <c r="A229" s="36">
        <v>228</v>
      </c>
      <c r="B229" s="3" t="s">
        <v>16</v>
      </c>
      <c r="C229" s="10" t="str">
        <f>"0001295160"</f>
        <v>0001295160</v>
      </c>
      <c r="D229" s="11" t="str">
        <f>"Design patterns : elements of reusable object-oriented software / Erich Gamma ... [et al.] ; [foreword by Grady Booch].-- Addison-Wesley; c1995.-- (Addison-Wesley professional computing series)."</f>
        <v>Design patterns : elements of reusable object-oriented software / Erich Gamma ... [et al.] ; [foreword by Grady Booch].-- Addison-Wesley; c1995.-- (Addison-Wesley professional computing series).</v>
      </c>
      <c r="E229" s="11" t="str">
        <f>""</f>
        <v/>
      </c>
      <c r="F229" s="28" t="s">
        <v>8</v>
      </c>
      <c r="G229" s="29" t="str">
        <f>"007.6/DE"</f>
        <v>007.6/DE</v>
      </c>
      <c r="H229" s="10" t="str">
        <f>"1997/07/16"</f>
        <v>1997/07/16</v>
      </c>
      <c r="I229" s="12">
        <v>6832</v>
      </c>
      <c r="J229" s="12">
        <v>100</v>
      </c>
      <c r="K229" s="10" t="str">
        <f t="shared" si="14"/>
        <v>2  洋書</v>
      </c>
      <c r="L229" s="13"/>
    </row>
    <row r="230" spans="1:12" ht="24" x14ac:dyDescent="0.15">
      <c r="A230" s="36">
        <v>229</v>
      </c>
      <c r="B230" s="3" t="s">
        <v>16</v>
      </c>
      <c r="C230" s="4" t="str">
        <f>"0000458801"</f>
        <v>0000458801</v>
      </c>
      <c r="D230" s="5" t="str">
        <f>"Building problem solvers / Kenneth D. Forbus, Johan de Kleer.-- MIT Press; c1993.-- (The MIT Press series in artificial intelligence)."</f>
        <v>Building problem solvers / Kenneth D. Forbus, Johan de Kleer.-- MIT Press; c1993.-- (The MIT Press series in artificial intelligence).</v>
      </c>
      <c r="E230" s="5" t="str">
        <f>""</f>
        <v/>
      </c>
      <c r="F230" s="26"/>
      <c r="G230" s="27" t="str">
        <f>"007.6/FO"</f>
        <v>007.6/FO</v>
      </c>
      <c r="H230" s="4" t="str">
        <f>"1994/06/14"</f>
        <v>1994/06/14</v>
      </c>
      <c r="I230" s="6">
        <v>3995</v>
      </c>
      <c r="J230" s="6">
        <v>100</v>
      </c>
      <c r="K230" s="4" t="str">
        <f t="shared" si="14"/>
        <v>2  洋書</v>
      </c>
      <c r="L230" s="7"/>
    </row>
    <row r="231" spans="1:12" ht="24" x14ac:dyDescent="0.15">
      <c r="A231" s="36">
        <v>230</v>
      </c>
      <c r="B231" s="3" t="s">
        <v>16</v>
      </c>
      <c r="C231" s="4" t="str">
        <f>"0000502504"</f>
        <v>0000502504</v>
      </c>
      <c r="D231" s="5" t="str">
        <f>"Building problem solvers : listings / Kenneth D. Forbus, Johan de Kleer.-- MIT Press; c1993.-- (Bradford book)."</f>
        <v>Building problem solvers : listings / Kenneth D. Forbus, Johan de Kleer.-- MIT Press; c1993.-- (Bradford book).</v>
      </c>
      <c r="E231" s="5" t="str">
        <f>""</f>
        <v/>
      </c>
      <c r="F231" s="26"/>
      <c r="G231" s="27" t="str">
        <f>"007.6/FO"</f>
        <v>007.6/FO</v>
      </c>
      <c r="H231" s="4" t="str">
        <f>"1994/11/25"</f>
        <v>1994/11/25</v>
      </c>
      <c r="I231" s="6">
        <v>1</v>
      </c>
      <c r="J231" s="6">
        <v>100</v>
      </c>
      <c r="K231" s="4" t="str">
        <f t="shared" si="14"/>
        <v>2  洋書</v>
      </c>
      <c r="L231" s="7"/>
    </row>
    <row r="232" spans="1:12" ht="36" x14ac:dyDescent="0.15">
      <c r="A232" s="36">
        <v>231</v>
      </c>
      <c r="B232" s="3" t="s">
        <v>16</v>
      </c>
      <c r="C232" s="4" t="str">
        <f>"0002769196"</f>
        <v>0002769196</v>
      </c>
      <c r="D232" s="5" t="str">
        <f>"Computer graphics : principles and practice / James D. Foley ... [et al.].-- 2nd ed. in C.-- Addison-Wesley; c1996.-- (The systems programming series)."</f>
        <v>Computer graphics : principles and practice / James D. Foley ... [et al.].-- 2nd ed. in C.-- Addison-Wesley; c1996.-- (The systems programming series).</v>
      </c>
      <c r="E232" s="5" t="str">
        <f>""</f>
        <v/>
      </c>
      <c r="F232" s="26"/>
      <c r="G232" s="27" t="str">
        <f>"007.6/FO"</f>
        <v>007.6/FO</v>
      </c>
      <c r="H232" s="4" t="str">
        <f>"2007/01/15"</f>
        <v>2007/01/15</v>
      </c>
      <c r="I232" s="6">
        <v>11047</v>
      </c>
      <c r="J232" s="8">
        <v>500</v>
      </c>
      <c r="K232" s="4" t="str">
        <f t="shared" si="14"/>
        <v>2  洋書</v>
      </c>
      <c r="L232" s="7"/>
    </row>
    <row r="233" spans="1:12" ht="24" x14ac:dyDescent="0.15">
      <c r="A233" s="36">
        <v>232</v>
      </c>
      <c r="B233" s="3" t="s">
        <v>16</v>
      </c>
      <c r="C233" s="10" t="str">
        <f>"0000474061"</f>
        <v>0000474061</v>
      </c>
      <c r="D233" s="11" t="str">
        <f>"Information retrieval : data structures &amp; algorithms / edited by William B. Frakes, Ricardo Baeza-Yates ; : pbk.-- Prentice Hall PTR; c1992."</f>
        <v>Information retrieval : data structures &amp; algorithms / edited by William B. Frakes, Ricardo Baeza-Yates ; : pbk.-- Prentice Hall PTR; c1992.</v>
      </c>
      <c r="E233" s="11" t="str">
        <f>""</f>
        <v/>
      </c>
      <c r="F233" s="28" t="s">
        <v>8</v>
      </c>
      <c r="G233" s="29" t="str">
        <f>"007.6/FR"</f>
        <v>007.6/FR</v>
      </c>
      <c r="H233" s="10" t="str">
        <f>"1994/07/12"</f>
        <v>1994/07/12</v>
      </c>
      <c r="I233" s="12">
        <v>8009</v>
      </c>
      <c r="J233" s="12">
        <v>100</v>
      </c>
      <c r="K233" s="10" t="str">
        <f t="shared" si="14"/>
        <v>2  洋書</v>
      </c>
      <c r="L233" s="13"/>
    </row>
    <row r="234" spans="1:12" ht="24" x14ac:dyDescent="0.15">
      <c r="A234" s="36">
        <v>233</v>
      </c>
      <c r="B234" s="3" t="s">
        <v>16</v>
      </c>
      <c r="C234" s="4" t="str">
        <f>"0001292619"</f>
        <v>0001292619</v>
      </c>
      <c r="D234" s="5" t="str">
        <f>"Knowledge-based image processing systems / Deryn Graham and Anthony Barrett ; : pbk.-- Springer; c1997.-- (Applied computing)."</f>
        <v>Knowledge-based image processing systems / Deryn Graham and Anthony Barrett ; : pbk.-- Springer; c1997.-- (Applied computing).</v>
      </c>
      <c r="E234" s="5" t="str">
        <f>": pbk"</f>
        <v>: pbk</v>
      </c>
      <c r="F234" s="26"/>
      <c r="G234" s="27" t="str">
        <f>"007.6/GR"</f>
        <v>007.6/GR</v>
      </c>
      <c r="H234" s="4" t="str">
        <f>"1997/06/13"</f>
        <v>1997/06/13</v>
      </c>
      <c r="I234" s="6">
        <v>5178</v>
      </c>
      <c r="J234" s="6">
        <v>100</v>
      </c>
      <c r="K234" s="4" t="str">
        <f t="shared" si="14"/>
        <v>2  洋書</v>
      </c>
      <c r="L234" s="7"/>
    </row>
    <row r="235" spans="1:12" ht="36" x14ac:dyDescent="0.15">
      <c r="A235" s="36">
        <v>234</v>
      </c>
      <c r="B235" s="3" t="s">
        <v>16</v>
      </c>
      <c r="C235" s="10" t="str">
        <f>"0001295283"</f>
        <v>0001295283</v>
      </c>
      <c r="D235" s="11" t="str">
        <f>"HTML sourcebook : a complete guide to HTML 3.2 and HTLM extensions / Ian S. Graham.-- 3rd ed.-- Wiley Computer Pub. : John Wiley &amp; Sons; c1997."</f>
        <v>HTML sourcebook : a complete guide to HTML 3.2 and HTLM extensions / Ian S. Graham.-- 3rd ed.-- Wiley Computer Pub. : John Wiley &amp; Sons; c1997.</v>
      </c>
      <c r="E235" s="11" t="str">
        <f>""</f>
        <v/>
      </c>
      <c r="F235" s="28" t="s">
        <v>8</v>
      </c>
      <c r="G235" s="29" t="str">
        <f>"007.6/GR"</f>
        <v>007.6/GR</v>
      </c>
      <c r="H235" s="10" t="str">
        <f>"1997/07/25"</f>
        <v>1997/07/25</v>
      </c>
      <c r="I235" s="12">
        <v>4923</v>
      </c>
      <c r="J235" s="12">
        <v>100</v>
      </c>
      <c r="K235" s="10" t="str">
        <f t="shared" si="14"/>
        <v>2  洋書</v>
      </c>
      <c r="L235" s="13"/>
    </row>
    <row r="236" spans="1:12" ht="36" x14ac:dyDescent="0.15">
      <c r="A236" s="36">
        <v>235</v>
      </c>
      <c r="B236" s="3" t="s">
        <v>16</v>
      </c>
      <c r="C236" s="4" t="str">
        <f>"0002273815"</f>
        <v>0002273815</v>
      </c>
      <c r="D236" s="5" t="str">
        <f>"Principles of data mining / David Hand, Heikki Mannila, Padhraic Smyth ; : hc.-- MIT Press; c2001.-- (Adaptive computation and machine learning)."</f>
        <v>Principles of data mining / David Hand, Heikki Mannila, Padhraic Smyth ; : hc.-- MIT Press; c2001.-- (Adaptive computation and machine learning).</v>
      </c>
      <c r="E236" s="5" t="str">
        <f>": hc"</f>
        <v>: hc</v>
      </c>
      <c r="F236" s="26"/>
      <c r="G236" s="27" t="str">
        <f>"007.6/HA"</f>
        <v>007.6/HA</v>
      </c>
      <c r="H236" s="4" t="str">
        <f>"2001/10/16"</f>
        <v>2001/10/16</v>
      </c>
      <c r="I236" s="6">
        <v>8505</v>
      </c>
      <c r="J236" s="6">
        <v>100</v>
      </c>
      <c r="K236" s="4" t="str">
        <f t="shared" si="14"/>
        <v>2  洋書</v>
      </c>
      <c r="L236" s="7"/>
    </row>
    <row r="237" spans="1:12" ht="24" x14ac:dyDescent="0.15">
      <c r="A237" s="36">
        <v>236</v>
      </c>
      <c r="B237" s="3" t="s">
        <v>16</v>
      </c>
      <c r="C237" s="10" t="str">
        <f>"0001670066"</f>
        <v>0001670066</v>
      </c>
      <c r="D237" s="11" t="str">
        <f>"Studies in computational science : parallel programming paradigms / Per Brinch Hansen.-- Prenctice Hall; c1995."</f>
        <v>Studies in computational science : parallel programming paradigms / Per Brinch Hansen.-- Prenctice Hall; c1995.</v>
      </c>
      <c r="E237" s="11" t="str">
        <f>""</f>
        <v/>
      </c>
      <c r="F237" s="28" t="s">
        <v>8</v>
      </c>
      <c r="G237" s="29" t="str">
        <f>"007.6/HA"</f>
        <v>007.6/HA</v>
      </c>
      <c r="H237" s="10" t="str">
        <f>"1998/04/21"</f>
        <v>1998/04/21</v>
      </c>
      <c r="I237" s="12">
        <v>12039</v>
      </c>
      <c r="J237" s="14">
        <v>500</v>
      </c>
      <c r="K237" s="10" t="str">
        <f t="shared" si="14"/>
        <v>2  洋書</v>
      </c>
      <c r="L237" s="13"/>
    </row>
    <row r="238" spans="1:12" ht="48" x14ac:dyDescent="0.15">
      <c r="A238" s="36">
        <v>237</v>
      </c>
      <c r="B238" s="3" t="s">
        <v>16</v>
      </c>
      <c r="C238" s="10" t="str">
        <f>"0001298970"</f>
        <v>0001298970</v>
      </c>
      <c r="D238" s="11" t="str">
        <f>"Background : mathematical structures / edited by S. Abramsky, Dov M. Gabbay and T.S.E. Maibaum ; volume co-ordinator, Dov M. Gabbay.-- Clarendon Press; 1992.-- (Handbook of logic in computer science ; v. 1)."</f>
        <v>Background : mathematical structures / edited by S. Abramsky, Dov M. Gabbay and T.S.E. Maibaum ; volume co-ordinator, Dov M. Gabbay.-- Clarendon Press; 1992.-- (Handbook of logic in computer science ; v. 1).</v>
      </c>
      <c r="E238" s="11" t="str">
        <f>""</f>
        <v/>
      </c>
      <c r="F238" s="28" t="s">
        <v>8</v>
      </c>
      <c r="G238" s="29" t="str">
        <f>"007.6/HA/1"</f>
        <v>007.6/HA/1</v>
      </c>
      <c r="H238" s="10" t="str">
        <f>"1997/10/24"</f>
        <v>1997/10/24</v>
      </c>
      <c r="I238" s="12">
        <v>27830</v>
      </c>
      <c r="J238" s="14">
        <v>1000</v>
      </c>
      <c r="K238" s="10" t="str">
        <f t="shared" si="14"/>
        <v>2  洋書</v>
      </c>
      <c r="L238" s="13"/>
    </row>
    <row r="239" spans="1:12" ht="48" x14ac:dyDescent="0.15">
      <c r="A239" s="36">
        <v>238</v>
      </c>
      <c r="B239" s="3" t="s">
        <v>16</v>
      </c>
      <c r="C239" s="10" t="str">
        <f>"0000862592"</f>
        <v>0000862592</v>
      </c>
      <c r="D239" s="11" t="str">
        <f>"Background : computational structures / edited by S. Abramsky, Dov M. Gabbay and T.S.E. Maibaum ; volume co-ordinator, Dov M. Gabbay.-- Clarendon Press; 1992.-- (Handbook of logic in computer science ; v. 2)."</f>
        <v>Background : computational structures / edited by S. Abramsky, Dov M. Gabbay and T.S.E. Maibaum ; volume co-ordinator, Dov M. Gabbay.-- Clarendon Press; 1992.-- (Handbook of logic in computer science ; v. 2).</v>
      </c>
      <c r="E239" s="11" t="str">
        <f>""</f>
        <v/>
      </c>
      <c r="F239" s="28" t="s">
        <v>8</v>
      </c>
      <c r="G239" s="29" t="str">
        <f>"007.6/HA/2"</f>
        <v>007.6/HA/2</v>
      </c>
      <c r="H239" s="10" t="str">
        <f>"1995/07/21"</f>
        <v>1995/07/21</v>
      </c>
      <c r="I239" s="12">
        <v>12792</v>
      </c>
      <c r="J239" s="14">
        <v>500</v>
      </c>
      <c r="K239" s="10" t="str">
        <f t="shared" si="14"/>
        <v>2  洋書</v>
      </c>
      <c r="L239" s="13"/>
    </row>
    <row r="240" spans="1:12" ht="36" x14ac:dyDescent="0.15">
      <c r="A240" s="36">
        <v>239</v>
      </c>
      <c r="B240" s="3" t="s">
        <v>16</v>
      </c>
      <c r="C240" s="4" t="str">
        <f>"0001286755"</f>
        <v>0001286755</v>
      </c>
      <c r="D240" s="5" t="str">
        <f>"Computability and complexity : from a programming perspective / Neil D. Jones.-- MIT Press; c1997.-- (MIT Press series in the foundations of computing)."</f>
        <v>Computability and complexity : from a programming perspective / Neil D. Jones.-- MIT Press; c1997.-- (MIT Press series in the foundations of computing).</v>
      </c>
      <c r="E240" s="5" t="str">
        <f>""</f>
        <v/>
      </c>
      <c r="F240" s="26"/>
      <c r="G240" s="27" t="str">
        <f>"007.6/JO"</f>
        <v>007.6/JO</v>
      </c>
      <c r="H240" s="4" t="str">
        <f>"1997/03/19"</f>
        <v>1997/03/19</v>
      </c>
      <c r="I240" s="6">
        <v>9307</v>
      </c>
      <c r="J240" s="6">
        <v>100</v>
      </c>
      <c r="K240" s="4" t="str">
        <f t="shared" si="14"/>
        <v>2  洋書</v>
      </c>
      <c r="L240" s="7"/>
    </row>
    <row r="241" spans="1:12" ht="48" x14ac:dyDescent="0.15">
      <c r="A241" s="36">
        <v>240</v>
      </c>
      <c r="B241" s="3" t="s">
        <v>16</v>
      </c>
      <c r="C241" s="10" t="str">
        <f>"0001465907"</f>
        <v>0001465907</v>
      </c>
      <c r="D241" s="11" t="str">
        <f>"A fuzzy PROLOG database system / Deyi Li and Dongbo Liu ; : Research Studie Press, : Wiley.-- Research Studies Press.-- (Electronic &amp; electrical engineering research studies ; . Computing systems series ; 1)."</f>
        <v>A fuzzy PROLOG database system / Deyi Li and Dongbo Liu ; : Research Studie Press, : Wiley.-- Research Studies Press.-- (Electronic &amp; electrical engineering research studies ; . Computing systems series ; 1).</v>
      </c>
      <c r="E241" s="11" t="str">
        <f>": Research Studie Press"</f>
        <v>: Research Studie Press</v>
      </c>
      <c r="F241" s="28" t="s">
        <v>8</v>
      </c>
      <c r="G241" s="29" t="str">
        <f>"007.6/LI"</f>
        <v>007.6/LI</v>
      </c>
      <c r="H241" s="10" t="str">
        <f>"1997/03/31"</f>
        <v>1997/03/31</v>
      </c>
      <c r="I241" s="12">
        <v>10068</v>
      </c>
      <c r="J241" s="14">
        <v>500</v>
      </c>
      <c r="K241" s="10" t="str">
        <f t="shared" si="14"/>
        <v>2  洋書</v>
      </c>
      <c r="L241" s="13"/>
    </row>
    <row r="242" spans="1:12" ht="60" x14ac:dyDescent="0.15">
      <c r="A242" s="36">
        <v>241</v>
      </c>
      <c r="B242" s="3" t="s">
        <v>16</v>
      </c>
      <c r="C242" s="10" t="str">
        <f>"0001288049"</f>
        <v>0001288049</v>
      </c>
      <c r="D242" s="11" t="s">
        <v>13</v>
      </c>
      <c r="E242" s="11" t="str">
        <f>""</f>
        <v/>
      </c>
      <c r="F242" s="28" t="s">
        <v>8</v>
      </c>
      <c r="G242" s="29" t="str">
        <f>"007.6/MA"</f>
        <v>007.6/MA</v>
      </c>
      <c r="H242" s="10" t="str">
        <f>"1997/04/15"</f>
        <v>1997/04/15</v>
      </c>
      <c r="I242" s="12">
        <v>5613</v>
      </c>
      <c r="J242" s="12">
        <v>100</v>
      </c>
      <c r="K242" s="10" t="str">
        <f t="shared" si="14"/>
        <v>2  洋書</v>
      </c>
      <c r="L242" s="13"/>
    </row>
    <row r="243" spans="1:12" ht="36" x14ac:dyDescent="0.15">
      <c r="A243" s="36">
        <v>242</v>
      </c>
      <c r="B243" s="3" t="s">
        <v>16</v>
      </c>
      <c r="C243" s="10" t="str">
        <f>"0001274646"</f>
        <v>0001274646</v>
      </c>
      <c r="D243" s="11" t="str">
        <f>"X Windows on the world : developing internationalized software with X, Motif and CDE / Thomas C. McFarland.-- Prentice Hall; c1996.-- (Hewlett-Packard professional books)."</f>
        <v>X Windows on the world : developing internationalized software with X, Motif and CDE / Thomas C. McFarland.-- Prentice Hall; c1996.-- (Hewlett-Packard professional books).</v>
      </c>
      <c r="E243" s="11" t="str">
        <f>""</f>
        <v/>
      </c>
      <c r="F243" s="28" t="s">
        <v>8</v>
      </c>
      <c r="G243" s="29" t="str">
        <f>"007.6/MC"</f>
        <v>007.6/MC</v>
      </c>
      <c r="H243" s="10" t="str">
        <f>"1996/08/23"</f>
        <v>1996/08/23</v>
      </c>
      <c r="I243" s="12">
        <v>5005</v>
      </c>
      <c r="J243" s="12">
        <v>100</v>
      </c>
      <c r="K243" s="10" t="str">
        <f t="shared" si="14"/>
        <v>2  洋書</v>
      </c>
      <c r="L243" s="13"/>
    </row>
    <row r="244" spans="1:12" ht="48" x14ac:dyDescent="0.15">
      <c r="A244" s="36">
        <v>243</v>
      </c>
      <c r="B244" s="3" t="s">
        <v>16</v>
      </c>
      <c r="C244" s="4" t="str">
        <f>"0001265149"</f>
        <v>0001265149</v>
      </c>
      <c r="D244" s="5" t="str">
        <f>"Imprecise and approximate computation / edited by Swaminathan Natarajan.-- Kluwer Academic Publishers; c1995.-- (The Kluwer international series in engineering and computer science ; SECS318 . Real-time systems / consulting editor, John A. Stankovic)."</f>
        <v>Imprecise and approximate computation / edited by Swaminathan Natarajan.-- Kluwer Academic Publishers; c1995.-- (The Kluwer international series in engineering and computer science ; SECS318 . Real-time systems / consulting editor, John A. Stankovic).</v>
      </c>
      <c r="E244" s="5" t="str">
        <f>""</f>
        <v/>
      </c>
      <c r="F244" s="26"/>
      <c r="G244" s="27" t="str">
        <f>"007.6/NA"</f>
        <v>007.6/NA</v>
      </c>
      <c r="H244" s="4" t="str">
        <f>"1996/02/29"</f>
        <v>1996/02/29</v>
      </c>
      <c r="I244" s="6">
        <v>13209</v>
      </c>
      <c r="J244" s="8">
        <v>500</v>
      </c>
      <c r="K244" s="4" t="str">
        <f t="shared" si="14"/>
        <v>2  洋書</v>
      </c>
      <c r="L244" s="7"/>
    </row>
    <row r="245" spans="1:12" ht="24" x14ac:dyDescent="0.15">
      <c r="A245" s="36">
        <v>244</v>
      </c>
      <c r="B245" s="3" t="s">
        <v>16</v>
      </c>
      <c r="C245" s="10" t="str">
        <f>"0001836042"</f>
        <v>0001836042</v>
      </c>
      <c r="D245" s="11" t="str">
        <f>"The essential distributed objects survival guide / Robert Orfali, Dan Harkey, Jeri Edwards.-- Wiley; c1996."</f>
        <v>The essential distributed objects survival guide / Robert Orfali, Dan Harkey, Jeri Edwards.-- Wiley; c1996.</v>
      </c>
      <c r="E245" s="11" t="str">
        <f>""</f>
        <v/>
      </c>
      <c r="F245" s="28" t="s">
        <v>8</v>
      </c>
      <c r="G245" s="29" t="str">
        <f>"007.6/OR"</f>
        <v>007.6/OR</v>
      </c>
      <c r="H245" s="10" t="str">
        <f>"1998/06/25"</f>
        <v>1998/06/25</v>
      </c>
      <c r="I245" s="12">
        <v>6048</v>
      </c>
      <c r="J245" s="12">
        <v>100</v>
      </c>
      <c r="K245" s="10" t="str">
        <f t="shared" si="14"/>
        <v>2  洋書</v>
      </c>
      <c r="L245" s="13"/>
    </row>
    <row r="246" spans="1:12" ht="24" x14ac:dyDescent="0.15">
      <c r="A246" s="36">
        <v>245</v>
      </c>
      <c r="B246" s="3" t="s">
        <v>16</v>
      </c>
      <c r="C246" s="4" t="str">
        <f>"0001733662"</f>
        <v>0001733662</v>
      </c>
      <c r="D246" s="5" t="str">
        <f>"Algorithms for image processing and computer vision / J.R. Parker ; : pbk.-- John Wiley; c1997."</f>
        <v>Algorithms for image processing and computer vision / J.R. Parker ; : pbk.-- John Wiley; c1997.</v>
      </c>
      <c r="E246" s="5" t="str">
        <f>": pbk"</f>
        <v>: pbk</v>
      </c>
      <c r="F246" s="26"/>
      <c r="G246" s="27" t="str">
        <f>"007.6/PA"</f>
        <v>007.6/PA</v>
      </c>
      <c r="H246" s="4" t="str">
        <f>"1998/03/31"</f>
        <v>1998/03/31</v>
      </c>
      <c r="I246" s="6">
        <v>7803</v>
      </c>
      <c r="J246" s="6">
        <v>100</v>
      </c>
      <c r="K246" s="4" t="str">
        <f t="shared" si="14"/>
        <v>2  洋書</v>
      </c>
      <c r="L246" s="7"/>
    </row>
    <row r="247" spans="1:12" ht="24" x14ac:dyDescent="0.15">
      <c r="A247" s="36">
        <v>246</v>
      </c>
      <c r="B247" s="3" t="s">
        <v>16</v>
      </c>
      <c r="C247" s="4" t="str">
        <f>"0001671001"</f>
        <v>0001671001</v>
      </c>
      <c r="D247" s="5" t="str">
        <f>"Learning to learn / edited by Sebastian Thrun and Lorien Pratt ; : acid-free paper.-- Kluwer Academic Publishers; c1998."</f>
        <v>Learning to learn / edited by Sebastian Thrun and Lorien Pratt ; : acid-free paper.-- Kluwer Academic Publishers; c1998.</v>
      </c>
      <c r="E247" s="5" t="str">
        <f>": acid-free paper"</f>
        <v>: acid-free paper</v>
      </c>
      <c r="F247" s="26"/>
      <c r="G247" s="27" t="str">
        <f>"007.6/TH"</f>
        <v>007.6/TH</v>
      </c>
      <c r="H247" s="4" t="str">
        <f>"1998/04/21"</f>
        <v>1998/04/21</v>
      </c>
      <c r="I247" s="6">
        <v>21498</v>
      </c>
      <c r="J247" s="8">
        <v>1000</v>
      </c>
      <c r="K247" s="4" t="str">
        <f t="shared" si="14"/>
        <v>2  洋書</v>
      </c>
      <c r="L247" s="7"/>
    </row>
    <row r="248" spans="1:12" ht="24" x14ac:dyDescent="0.15">
      <c r="A248" s="36">
        <v>247</v>
      </c>
      <c r="B248" s="3" t="s">
        <v>16</v>
      </c>
      <c r="C248" s="10" t="str">
        <f>"0001673982"</f>
        <v>0001673982</v>
      </c>
      <c r="D248" s="11" t="str">
        <f>"Web graphics sourcebook / Ed Tittel, Susan Price, James Michael Stewart ; : pbk.-- Wiley Computer Publishing; c1997."</f>
        <v>Web graphics sourcebook / Ed Tittel, Susan Price, James Michael Stewart ; : pbk.-- Wiley Computer Publishing; c1997.</v>
      </c>
      <c r="E248" s="11" t="str">
        <f>": pbk"</f>
        <v>: pbk</v>
      </c>
      <c r="F248" s="28" t="s">
        <v>8</v>
      </c>
      <c r="G248" s="29" t="str">
        <f>"007.6/TI"</f>
        <v>007.6/TI</v>
      </c>
      <c r="H248" s="10" t="str">
        <f>"1998/06/19"</f>
        <v>1998/06/19</v>
      </c>
      <c r="I248" s="12">
        <v>8656</v>
      </c>
      <c r="J248" s="12">
        <v>100</v>
      </c>
      <c r="K248" s="10" t="str">
        <f t="shared" si="14"/>
        <v>2  洋書</v>
      </c>
      <c r="L248" s="13"/>
    </row>
    <row r="249" spans="1:12" ht="24" x14ac:dyDescent="0.15">
      <c r="A249" s="36">
        <v>248</v>
      </c>
      <c r="B249" s="3" t="s">
        <v>16</v>
      </c>
      <c r="C249" s="4" t="str">
        <f>"0002290157"</f>
        <v>0002290157</v>
      </c>
      <c r="D249" s="5" t="str">
        <f>"Introductory techniques for 3-D computer vision / Emanuele Trucco, Alessandro Verri.-- Prentice Hall; c1998."</f>
        <v>Introductory techniques for 3-D computer vision / Emanuele Trucco, Alessandro Verri.-- Prentice Hall; c1998.</v>
      </c>
      <c r="E249" s="5" t="str">
        <f>""</f>
        <v/>
      </c>
      <c r="F249" s="26"/>
      <c r="G249" s="27" t="str">
        <f>"007.6/TR"</f>
        <v>007.6/TR</v>
      </c>
      <c r="H249" s="4" t="str">
        <f>"2003/01/27"</f>
        <v>2003/01/27</v>
      </c>
      <c r="I249" s="6">
        <v>15734</v>
      </c>
      <c r="J249" s="8">
        <v>500</v>
      </c>
      <c r="K249" s="4" t="str">
        <f t="shared" si="14"/>
        <v>2  洋書</v>
      </c>
      <c r="L249" s="7"/>
    </row>
    <row r="250" spans="1:12" ht="24" x14ac:dyDescent="0.15">
      <c r="A250" s="36">
        <v>249</v>
      </c>
      <c r="B250" s="3" t="s">
        <v>16</v>
      </c>
      <c r="C250" s="4" t="str">
        <f>"0002294926"</f>
        <v>0002294926</v>
      </c>
      <c r="D250" s="5" t="str">
        <f>"Introductory techniques for 3-D computer vision / Emanuele Trucco, Alessandro Verri.-- Prentice Hall; c1998."</f>
        <v>Introductory techniques for 3-D computer vision / Emanuele Trucco, Alessandro Verri.-- Prentice Hall; c1998.</v>
      </c>
      <c r="E250" s="5" t="str">
        <f>""</f>
        <v/>
      </c>
      <c r="F250" s="26"/>
      <c r="G250" s="27" t="str">
        <f>"007.6/TR"</f>
        <v>007.6/TR</v>
      </c>
      <c r="H250" s="4" t="str">
        <f>"2003/06/03"</f>
        <v>2003/06/03</v>
      </c>
      <c r="I250" s="6">
        <v>10206</v>
      </c>
      <c r="J250" s="8">
        <v>500</v>
      </c>
      <c r="K250" s="4" t="str">
        <f t="shared" si="14"/>
        <v>2  洋書</v>
      </c>
      <c r="L250" s="7"/>
    </row>
    <row r="251" spans="1:12" ht="36" x14ac:dyDescent="0.15">
      <c r="A251" s="36">
        <v>250</v>
      </c>
      <c r="B251" s="3" t="s">
        <v>16</v>
      </c>
      <c r="C251" s="10" t="str">
        <f>"0001836127"</f>
        <v>0001836127</v>
      </c>
      <c r="D251" s="11" t="str">
        <f>"Compiler design / Reinhard Wilhelm, Dieter Maurer ; translated by Stephen S. Wilson.-- Addison-Wesley Publishing Co.; c1995.-- (International computer science series)."</f>
        <v>Compiler design / Reinhard Wilhelm, Dieter Maurer ; translated by Stephen S. Wilson.-- Addison-Wesley Publishing Co.; c1995.-- (International computer science series).</v>
      </c>
      <c r="E251" s="11" t="str">
        <f>""</f>
        <v/>
      </c>
      <c r="F251" s="28" t="s">
        <v>8</v>
      </c>
      <c r="G251" s="29" t="str">
        <f>"007.6/WI"</f>
        <v>007.6/WI</v>
      </c>
      <c r="H251" s="10" t="str">
        <f>"1998/07/28"</f>
        <v>1998/07/28</v>
      </c>
      <c r="I251" s="12">
        <v>11604</v>
      </c>
      <c r="J251" s="14">
        <v>500</v>
      </c>
      <c r="K251" s="10" t="str">
        <f t="shared" si="14"/>
        <v>2  洋書</v>
      </c>
      <c r="L251" s="13"/>
    </row>
    <row r="252" spans="1:12" ht="24" x14ac:dyDescent="0.15">
      <c r="A252" s="36">
        <v>251</v>
      </c>
      <c r="B252" s="3" t="s">
        <v>16</v>
      </c>
      <c r="C252" s="10" t="str">
        <f>"0001285734"</f>
        <v>0001285734</v>
      </c>
      <c r="D252" s="11" t="str">
        <f>"Knowledge-base assisted database retrieval systems / Xu Wu, Tadao Ichikawa, Nick Cercone.-- World Scientific; 1996."</f>
        <v>Knowledge-base assisted database retrieval systems / Xu Wu, Tadao Ichikawa, Nick Cercone.-- World Scientific; 1996.</v>
      </c>
      <c r="E252" s="11" t="str">
        <f>""</f>
        <v/>
      </c>
      <c r="F252" s="28" t="s">
        <v>8</v>
      </c>
      <c r="G252" s="29" t="str">
        <f>"007.6/WU"</f>
        <v>007.6/WU</v>
      </c>
      <c r="H252" s="10" t="str">
        <f>"1997/02/28"</f>
        <v>1997/02/28</v>
      </c>
      <c r="I252" s="12">
        <v>10604</v>
      </c>
      <c r="J252" s="14">
        <v>500</v>
      </c>
      <c r="K252" s="10" t="str">
        <f t="shared" si="14"/>
        <v>2  洋書</v>
      </c>
      <c r="L252" s="13"/>
    </row>
    <row r="253" spans="1:12" ht="48" x14ac:dyDescent="0.15">
      <c r="A253" s="36">
        <v>252</v>
      </c>
      <c r="B253" s="3" t="s">
        <v>16</v>
      </c>
      <c r="C253" s="10" t="str">
        <f>"0001690385"</f>
        <v>0001690385</v>
      </c>
      <c r="D253" s="11" t="str">
        <f>"The unified modeling language user guide / Grady Booch, James Rumbaugh, Ivar Jacobson.-- Addison-Wesley; c1999.-- (The Addison-Wesley object technology series / Grady Booch, Ivan Jacobson, James Rumbaugh)."</f>
        <v>The unified modeling language user guide / Grady Booch, James Rumbaugh, Ivar Jacobson.-- Addison-Wesley; c1999.-- (The Addison-Wesley object technology series / Grady Booch, Ivan Jacobson, James Rumbaugh).</v>
      </c>
      <c r="E253" s="11" t="str">
        <f>""</f>
        <v/>
      </c>
      <c r="F253" s="28" t="s">
        <v>8</v>
      </c>
      <c r="G253" s="29" t="str">
        <f>"007.61/BO"</f>
        <v>007.61/BO</v>
      </c>
      <c r="H253" s="10" t="str">
        <f>"1999/03/09"</f>
        <v>1999/03/09</v>
      </c>
      <c r="I253" s="12">
        <v>8019</v>
      </c>
      <c r="J253" s="12">
        <v>100</v>
      </c>
      <c r="K253" s="10" t="str">
        <f t="shared" si="14"/>
        <v>2  洋書</v>
      </c>
      <c r="L253" s="13"/>
    </row>
    <row r="254" spans="1:12" ht="48" x14ac:dyDescent="0.15">
      <c r="A254" s="36">
        <v>253</v>
      </c>
      <c r="B254" s="3" t="s">
        <v>16</v>
      </c>
      <c r="C254" s="10" t="str">
        <f>"0001699326"</f>
        <v>0001699326</v>
      </c>
      <c r="D254" s="11" t="str">
        <f>"Objects, components, and frameworks with UML : the catalysis approach / Desmond Francis D'Souza, Alan Cameron Wills.-- Addison-Wesley; c1999.-- (The Addison-Wesley object technology series / Grady Booch, Ivan Jacobson, James Rumbaugh)."</f>
        <v>Objects, components, and frameworks with UML : the catalysis approach / Desmond Francis D'Souza, Alan Cameron Wills.-- Addison-Wesley; c1999.-- (The Addison-Wesley object technology series / Grady Booch, Ivan Jacobson, James Rumbaugh).</v>
      </c>
      <c r="E254" s="11" t="str">
        <f>""</f>
        <v/>
      </c>
      <c r="F254" s="28" t="s">
        <v>8</v>
      </c>
      <c r="G254" s="29" t="str">
        <f>"007.61/DS"</f>
        <v>007.61/DS</v>
      </c>
      <c r="H254" s="10" t="str">
        <f>"1999/11/16"</f>
        <v>1999/11/16</v>
      </c>
      <c r="I254" s="12">
        <v>7550</v>
      </c>
      <c r="J254" s="12">
        <v>100</v>
      </c>
      <c r="K254" s="10" t="str">
        <f t="shared" si="14"/>
        <v>2  洋書</v>
      </c>
      <c r="L254" s="13"/>
    </row>
    <row r="255" spans="1:12" ht="24" x14ac:dyDescent="0.15">
      <c r="A255" s="36">
        <v>254</v>
      </c>
      <c r="B255" s="3" t="s">
        <v>16</v>
      </c>
      <c r="C255" s="10" t="str">
        <f>"0000494328"</f>
        <v>0000494328</v>
      </c>
      <c r="D255" s="11" t="str">
        <f>"Information modeling : specification and implementation / David Edmond.-- Prentice Hall; c1992."</f>
        <v>Information modeling : specification and implementation / David Edmond.-- Prentice Hall; c1992.</v>
      </c>
      <c r="E255" s="11" t="str">
        <f>""</f>
        <v/>
      </c>
      <c r="F255" s="28" t="s">
        <v>8</v>
      </c>
      <c r="G255" s="29" t="str">
        <f>"007.61/ED"</f>
        <v>007.61/ED</v>
      </c>
      <c r="H255" s="10" t="str">
        <f>"1994/10/28"</f>
        <v>1994/10/28</v>
      </c>
      <c r="I255" s="12">
        <v>5506</v>
      </c>
      <c r="J255" s="12">
        <v>100</v>
      </c>
      <c r="K255" s="10" t="str">
        <f t="shared" si="14"/>
        <v>2  洋書</v>
      </c>
      <c r="L255" s="13"/>
    </row>
    <row r="256" spans="1:12" ht="24" x14ac:dyDescent="0.15">
      <c r="A256" s="36">
        <v>255</v>
      </c>
      <c r="B256" s="3" t="s">
        <v>16</v>
      </c>
      <c r="C256" s="10" t="str">
        <f>"0000532518"</f>
        <v>0000532518</v>
      </c>
      <c r="D256" s="11" t="str">
        <f>"Artificial intelligence in design '94 / edited by John S. Gero, and Fay Sudweeks.-- Kluwer Academic; c1994."</f>
        <v>Artificial intelligence in design '94 / edited by John S. Gero, and Fay Sudweeks.-- Kluwer Academic; c1994.</v>
      </c>
      <c r="E256" s="11" t="str">
        <f>""</f>
        <v/>
      </c>
      <c r="F256" s="28" t="s">
        <v>8</v>
      </c>
      <c r="G256" s="29" t="str">
        <f>"007.61/GE"</f>
        <v>007.61/GE</v>
      </c>
      <c r="H256" s="10" t="str">
        <f>"1995/02/21"</f>
        <v>1995/02/21</v>
      </c>
      <c r="I256" s="12">
        <v>36616</v>
      </c>
      <c r="J256" s="14">
        <v>1000</v>
      </c>
      <c r="K256" s="10" t="str">
        <f t="shared" si="14"/>
        <v>2  洋書</v>
      </c>
      <c r="L256" s="13"/>
    </row>
    <row r="257" spans="1:12" ht="24" x14ac:dyDescent="0.15">
      <c r="A257" s="36">
        <v>256</v>
      </c>
      <c r="B257" s="3" t="s">
        <v>16</v>
      </c>
      <c r="C257" s="4" t="str">
        <f>"0000532457"</f>
        <v>0000532457</v>
      </c>
      <c r="D257" s="5" t="str">
        <f>"Human-computer interaction / Jenny Preece [with] Yvonne Rogers ... [et al.].-- Addison-Wesley; 1995 reprint, c1994."</f>
        <v>Human-computer interaction / Jenny Preece [with] Yvonne Rogers ... [et al.].-- Addison-Wesley; 1995 reprint, c1994.</v>
      </c>
      <c r="E257" s="5" t="str">
        <f>""</f>
        <v/>
      </c>
      <c r="F257" s="26"/>
      <c r="G257" s="27" t="str">
        <f>"007.61/PR"</f>
        <v>007.61/PR</v>
      </c>
      <c r="H257" s="4" t="str">
        <f>"1995/02/21"</f>
        <v>1995/02/21</v>
      </c>
      <c r="I257" s="6">
        <v>6798</v>
      </c>
      <c r="J257" s="6">
        <v>100</v>
      </c>
      <c r="K257" s="4" t="str">
        <f t="shared" si="14"/>
        <v>2  洋書</v>
      </c>
      <c r="L257" s="7"/>
    </row>
    <row r="258" spans="1:12" ht="48" x14ac:dyDescent="0.15">
      <c r="A258" s="36">
        <v>257</v>
      </c>
      <c r="B258" s="3" t="s">
        <v>16</v>
      </c>
      <c r="C258" s="10" t="str">
        <f>"0001693850"</f>
        <v>0001693850</v>
      </c>
      <c r="D258" s="11" t="str">
        <f>"The object constraint language : precise modeling with UML / Jos B. Warmer, Anneke G. Kleppe.-- Addison Wesley Longman; c1999.-- (The Addison-Wesley object technology series / Grady Booch, Ivan Jacobson, James Rumbaugh)."</f>
        <v>The object constraint language : precise modeling with UML / Jos B. Warmer, Anneke G. Kleppe.-- Addison Wesley Longman; c1999.-- (The Addison-Wesley object technology series / Grady Booch, Ivan Jacobson, James Rumbaugh).</v>
      </c>
      <c r="E258" s="11" t="str">
        <f>""</f>
        <v/>
      </c>
      <c r="F258" s="28" t="s">
        <v>8</v>
      </c>
      <c r="G258" s="29" t="str">
        <f>"007.61/WA"</f>
        <v>007.61/WA</v>
      </c>
      <c r="H258" s="10" t="str">
        <f>"1999/06/16"</f>
        <v>1999/06/16</v>
      </c>
      <c r="I258" s="12">
        <v>5235</v>
      </c>
      <c r="J258" s="12">
        <v>100</v>
      </c>
      <c r="K258" s="10" t="str">
        <f t="shared" si="14"/>
        <v>2  洋書</v>
      </c>
      <c r="L258" s="13"/>
    </row>
    <row r="259" spans="1:12" ht="36" x14ac:dyDescent="0.15">
      <c r="A259" s="36">
        <v>258</v>
      </c>
      <c r="B259" s="3" t="s">
        <v>16</v>
      </c>
      <c r="C259" s="10" t="str">
        <f>"0001661248"</f>
        <v>0001661248</v>
      </c>
      <c r="D259" s="11" t="str">
        <f>"オブジェクト指向における再利用のためのデザインパターン / Erich Gamma [ほか] 著 ; 本位田真一, 吉田和樹監訳.-- ソフトバンク; 1995.10.-- (Addison-Wesleyプロフェッショナルコンピューティングシリーズ)."</f>
        <v>オブジェクト指向における再利用のためのデザインパターン / Erich Gamma [ほか] 著 ; 本位田真一, 吉田和樹監訳.-- ソフトバンク; 1995.10.-- (Addison-Wesleyプロフェッショナルコンピューティングシリーズ).</v>
      </c>
      <c r="E259" s="11" t="str">
        <f>""</f>
        <v/>
      </c>
      <c r="F259" s="28" t="s">
        <v>8</v>
      </c>
      <c r="G259" s="29" t="str">
        <f>"007.63/ｵﾌﾞ"</f>
        <v>007.63/ｵﾌﾞ</v>
      </c>
      <c r="H259" s="10" t="str">
        <f>"1997/12/05"</f>
        <v>1997/12/05</v>
      </c>
      <c r="I259" s="12">
        <v>4252</v>
      </c>
      <c r="J259" s="12">
        <v>100</v>
      </c>
      <c r="K259" s="10" t="str">
        <f t="shared" ref="K259:K322" si="15">"1  和書"</f>
        <v>1  和書</v>
      </c>
      <c r="L259" s="13"/>
    </row>
    <row r="260" spans="1:12" ht="36" x14ac:dyDescent="0.15">
      <c r="A260" s="36">
        <v>259</v>
      </c>
      <c r="B260" s="3" t="s">
        <v>16</v>
      </c>
      <c r="C260" s="10" t="str">
        <f>"0001263275"</f>
        <v>0001263275</v>
      </c>
      <c r="D260" s="11" t="str">
        <f t="shared" ref="D260:D316" si="16">"OpenGL programming guide(日本語版) : the official guide to learning OpenGL, release 1 / OpenGL Architecture Review Board [ほか] 著 ; システムソフトエンジニアリング訳."</f>
        <v>OpenGL programming guide(日本語版) : the official guide to learning OpenGL, release 1 / OpenGL Architecture Review Board [ほか] 著 ; システムソフトエンジニアリング訳.</v>
      </c>
      <c r="E260" s="11" t="str">
        <f>""</f>
        <v/>
      </c>
      <c r="F260" s="28" t="s">
        <v>8</v>
      </c>
      <c r="G260" s="29" t="str">
        <f t="shared" ref="G260:G323" si="17">"007.63/ｵﾌﾟ"</f>
        <v>007.63/ｵﾌﾟ</v>
      </c>
      <c r="H260" s="10" t="str">
        <f t="shared" ref="H260:H288" si="18">"1996/02/20"</f>
        <v>1996/02/20</v>
      </c>
      <c r="I260" s="12">
        <v>9900</v>
      </c>
      <c r="J260" s="12">
        <v>100</v>
      </c>
      <c r="K260" s="10" t="str">
        <f t="shared" si="15"/>
        <v>1  和書</v>
      </c>
      <c r="L260" s="13"/>
    </row>
    <row r="261" spans="1:12" ht="36" x14ac:dyDescent="0.15">
      <c r="A261" s="36">
        <v>260</v>
      </c>
      <c r="B261" s="3" t="s">
        <v>16</v>
      </c>
      <c r="C261" s="10" t="str">
        <f>"0001263282"</f>
        <v>0001263282</v>
      </c>
      <c r="D261" s="11" t="str">
        <f t="shared" si="16"/>
        <v>OpenGL programming guide(日本語版) : the official guide to learning OpenGL, release 1 / OpenGL Architecture Review Board [ほか] 著 ; システムソフトエンジニアリング訳.</v>
      </c>
      <c r="E261" s="11" t="str">
        <f>""</f>
        <v/>
      </c>
      <c r="F261" s="28" t="s">
        <v>8</v>
      </c>
      <c r="G261" s="29" t="str">
        <f t="shared" si="17"/>
        <v>007.63/ｵﾌﾟ</v>
      </c>
      <c r="H261" s="10" t="str">
        <f t="shared" si="18"/>
        <v>1996/02/20</v>
      </c>
      <c r="I261" s="12">
        <v>9900</v>
      </c>
      <c r="J261" s="12">
        <v>100</v>
      </c>
      <c r="K261" s="10" t="str">
        <f t="shared" si="15"/>
        <v>1  和書</v>
      </c>
      <c r="L261" s="13"/>
    </row>
    <row r="262" spans="1:12" ht="36" x14ac:dyDescent="0.15">
      <c r="A262" s="36">
        <v>261</v>
      </c>
      <c r="B262" s="3" t="s">
        <v>16</v>
      </c>
      <c r="C262" s="10" t="str">
        <f>"0001263299"</f>
        <v>0001263299</v>
      </c>
      <c r="D262" s="11" t="str">
        <f t="shared" si="16"/>
        <v>OpenGL programming guide(日本語版) : the official guide to learning OpenGL, release 1 / OpenGL Architecture Review Board [ほか] 著 ; システムソフトエンジニアリング訳.</v>
      </c>
      <c r="E262" s="11" t="str">
        <f>""</f>
        <v/>
      </c>
      <c r="F262" s="28" t="s">
        <v>8</v>
      </c>
      <c r="G262" s="29" t="str">
        <f t="shared" si="17"/>
        <v>007.63/ｵﾌﾟ</v>
      </c>
      <c r="H262" s="10" t="str">
        <f t="shared" si="18"/>
        <v>1996/02/20</v>
      </c>
      <c r="I262" s="12">
        <v>9900</v>
      </c>
      <c r="J262" s="12">
        <v>100</v>
      </c>
      <c r="K262" s="10" t="str">
        <f t="shared" si="15"/>
        <v>1  和書</v>
      </c>
      <c r="L262" s="13"/>
    </row>
    <row r="263" spans="1:12" ht="36" x14ac:dyDescent="0.15">
      <c r="A263" s="36">
        <v>262</v>
      </c>
      <c r="B263" s="3" t="s">
        <v>16</v>
      </c>
      <c r="C263" s="10" t="str">
        <f>"0001263305"</f>
        <v>0001263305</v>
      </c>
      <c r="D263" s="11" t="str">
        <f t="shared" si="16"/>
        <v>OpenGL programming guide(日本語版) : the official guide to learning OpenGL, release 1 / OpenGL Architecture Review Board [ほか] 著 ; システムソフトエンジニアリング訳.</v>
      </c>
      <c r="E263" s="11" t="str">
        <f>""</f>
        <v/>
      </c>
      <c r="F263" s="28" t="s">
        <v>8</v>
      </c>
      <c r="G263" s="29" t="str">
        <f t="shared" si="17"/>
        <v>007.63/ｵﾌﾟ</v>
      </c>
      <c r="H263" s="10" t="str">
        <f t="shared" si="18"/>
        <v>1996/02/20</v>
      </c>
      <c r="I263" s="12">
        <v>9900</v>
      </c>
      <c r="J263" s="12">
        <v>100</v>
      </c>
      <c r="K263" s="10" t="str">
        <f t="shared" si="15"/>
        <v>1  和書</v>
      </c>
      <c r="L263" s="13"/>
    </row>
    <row r="264" spans="1:12" ht="36" x14ac:dyDescent="0.15">
      <c r="A264" s="36">
        <v>263</v>
      </c>
      <c r="B264" s="3" t="s">
        <v>16</v>
      </c>
      <c r="C264" s="10" t="str">
        <f>"0001263312"</f>
        <v>0001263312</v>
      </c>
      <c r="D264" s="11" t="str">
        <f t="shared" si="16"/>
        <v>OpenGL programming guide(日本語版) : the official guide to learning OpenGL, release 1 / OpenGL Architecture Review Board [ほか] 著 ; システムソフトエンジニアリング訳.</v>
      </c>
      <c r="E264" s="11" t="str">
        <f>""</f>
        <v/>
      </c>
      <c r="F264" s="28" t="s">
        <v>8</v>
      </c>
      <c r="G264" s="29" t="str">
        <f t="shared" si="17"/>
        <v>007.63/ｵﾌﾟ</v>
      </c>
      <c r="H264" s="10" t="str">
        <f t="shared" si="18"/>
        <v>1996/02/20</v>
      </c>
      <c r="I264" s="12">
        <v>9900</v>
      </c>
      <c r="J264" s="12">
        <v>100</v>
      </c>
      <c r="K264" s="10" t="str">
        <f t="shared" si="15"/>
        <v>1  和書</v>
      </c>
      <c r="L264" s="13"/>
    </row>
    <row r="265" spans="1:12" ht="36" x14ac:dyDescent="0.15">
      <c r="A265" s="36">
        <v>264</v>
      </c>
      <c r="B265" s="3" t="s">
        <v>16</v>
      </c>
      <c r="C265" s="10" t="str">
        <f>"0001263329"</f>
        <v>0001263329</v>
      </c>
      <c r="D265" s="11" t="str">
        <f t="shared" si="16"/>
        <v>OpenGL programming guide(日本語版) : the official guide to learning OpenGL, release 1 / OpenGL Architecture Review Board [ほか] 著 ; システムソフトエンジニアリング訳.</v>
      </c>
      <c r="E265" s="11" t="str">
        <f>""</f>
        <v/>
      </c>
      <c r="F265" s="28" t="s">
        <v>8</v>
      </c>
      <c r="G265" s="29" t="str">
        <f t="shared" si="17"/>
        <v>007.63/ｵﾌﾟ</v>
      </c>
      <c r="H265" s="10" t="str">
        <f t="shared" si="18"/>
        <v>1996/02/20</v>
      </c>
      <c r="I265" s="12">
        <v>9900</v>
      </c>
      <c r="J265" s="12">
        <v>100</v>
      </c>
      <c r="K265" s="10" t="str">
        <f t="shared" si="15"/>
        <v>1  和書</v>
      </c>
      <c r="L265" s="13"/>
    </row>
    <row r="266" spans="1:12" ht="36" x14ac:dyDescent="0.15">
      <c r="A266" s="36">
        <v>265</v>
      </c>
      <c r="B266" s="3" t="s">
        <v>16</v>
      </c>
      <c r="C266" s="10" t="str">
        <f>"0001263336"</f>
        <v>0001263336</v>
      </c>
      <c r="D266" s="11" t="str">
        <f t="shared" si="16"/>
        <v>OpenGL programming guide(日本語版) : the official guide to learning OpenGL, release 1 / OpenGL Architecture Review Board [ほか] 著 ; システムソフトエンジニアリング訳.</v>
      </c>
      <c r="E266" s="11" t="str">
        <f>""</f>
        <v/>
      </c>
      <c r="F266" s="28" t="s">
        <v>8</v>
      </c>
      <c r="G266" s="29" t="str">
        <f t="shared" si="17"/>
        <v>007.63/ｵﾌﾟ</v>
      </c>
      <c r="H266" s="10" t="str">
        <f t="shared" si="18"/>
        <v>1996/02/20</v>
      </c>
      <c r="I266" s="12">
        <v>9900</v>
      </c>
      <c r="J266" s="12">
        <v>100</v>
      </c>
      <c r="K266" s="10" t="str">
        <f t="shared" si="15"/>
        <v>1  和書</v>
      </c>
      <c r="L266" s="13"/>
    </row>
    <row r="267" spans="1:12" ht="36" x14ac:dyDescent="0.15">
      <c r="A267" s="36">
        <v>266</v>
      </c>
      <c r="B267" s="3" t="s">
        <v>16</v>
      </c>
      <c r="C267" s="10" t="str">
        <f>"0001263343"</f>
        <v>0001263343</v>
      </c>
      <c r="D267" s="11" t="str">
        <f t="shared" si="16"/>
        <v>OpenGL programming guide(日本語版) : the official guide to learning OpenGL, release 1 / OpenGL Architecture Review Board [ほか] 著 ; システムソフトエンジニアリング訳.</v>
      </c>
      <c r="E267" s="11" t="str">
        <f>""</f>
        <v/>
      </c>
      <c r="F267" s="28" t="s">
        <v>8</v>
      </c>
      <c r="G267" s="29" t="str">
        <f t="shared" si="17"/>
        <v>007.63/ｵﾌﾟ</v>
      </c>
      <c r="H267" s="10" t="str">
        <f t="shared" si="18"/>
        <v>1996/02/20</v>
      </c>
      <c r="I267" s="12">
        <v>9900</v>
      </c>
      <c r="J267" s="12">
        <v>100</v>
      </c>
      <c r="K267" s="10" t="str">
        <f t="shared" si="15"/>
        <v>1  和書</v>
      </c>
      <c r="L267" s="13"/>
    </row>
    <row r="268" spans="1:12" ht="36" x14ac:dyDescent="0.15">
      <c r="A268" s="36">
        <v>267</v>
      </c>
      <c r="B268" s="3" t="s">
        <v>16</v>
      </c>
      <c r="C268" s="10" t="str">
        <f>"0001263350"</f>
        <v>0001263350</v>
      </c>
      <c r="D268" s="11" t="str">
        <f t="shared" si="16"/>
        <v>OpenGL programming guide(日本語版) : the official guide to learning OpenGL, release 1 / OpenGL Architecture Review Board [ほか] 著 ; システムソフトエンジニアリング訳.</v>
      </c>
      <c r="E268" s="11" t="str">
        <f>""</f>
        <v/>
      </c>
      <c r="F268" s="28" t="s">
        <v>8</v>
      </c>
      <c r="G268" s="29" t="str">
        <f t="shared" si="17"/>
        <v>007.63/ｵﾌﾟ</v>
      </c>
      <c r="H268" s="10" t="str">
        <f t="shared" si="18"/>
        <v>1996/02/20</v>
      </c>
      <c r="I268" s="12">
        <v>9900</v>
      </c>
      <c r="J268" s="12">
        <v>100</v>
      </c>
      <c r="K268" s="10" t="str">
        <f t="shared" si="15"/>
        <v>1  和書</v>
      </c>
      <c r="L268" s="13"/>
    </row>
    <row r="269" spans="1:12" ht="36" x14ac:dyDescent="0.15">
      <c r="A269" s="36">
        <v>268</v>
      </c>
      <c r="B269" s="3" t="s">
        <v>16</v>
      </c>
      <c r="C269" s="10" t="str">
        <f>"0001263367"</f>
        <v>0001263367</v>
      </c>
      <c r="D269" s="11" t="str">
        <f t="shared" si="16"/>
        <v>OpenGL programming guide(日本語版) : the official guide to learning OpenGL, release 1 / OpenGL Architecture Review Board [ほか] 著 ; システムソフトエンジニアリング訳.</v>
      </c>
      <c r="E269" s="11" t="str">
        <f>""</f>
        <v/>
      </c>
      <c r="F269" s="28" t="s">
        <v>8</v>
      </c>
      <c r="G269" s="29" t="str">
        <f t="shared" si="17"/>
        <v>007.63/ｵﾌﾟ</v>
      </c>
      <c r="H269" s="10" t="str">
        <f t="shared" si="18"/>
        <v>1996/02/20</v>
      </c>
      <c r="I269" s="12">
        <v>9900</v>
      </c>
      <c r="J269" s="12">
        <v>100</v>
      </c>
      <c r="K269" s="10" t="str">
        <f t="shared" si="15"/>
        <v>1  和書</v>
      </c>
      <c r="L269" s="13"/>
    </row>
    <row r="270" spans="1:12" ht="36" x14ac:dyDescent="0.15">
      <c r="A270" s="36">
        <v>269</v>
      </c>
      <c r="B270" s="3" t="s">
        <v>16</v>
      </c>
      <c r="C270" s="10" t="str">
        <f>"0001263374"</f>
        <v>0001263374</v>
      </c>
      <c r="D270" s="11" t="str">
        <f t="shared" si="16"/>
        <v>OpenGL programming guide(日本語版) : the official guide to learning OpenGL, release 1 / OpenGL Architecture Review Board [ほか] 著 ; システムソフトエンジニアリング訳.</v>
      </c>
      <c r="E270" s="11" t="str">
        <f>""</f>
        <v/>
      </c>
      <c r="F270" s="28" t="s">
        <v>8</v>
      </c>
      <c r="G270" s="29" t="str">
        <f t="shared" si="17"/>
        <v>007.63/ｵﾌﾟ</v>
      </c>
      <c r="H270" s="10" t="str">
        <f t="shared" si="18"/>
        <v>1996/02/20</v>
      </c>
      <c r="I270" s="12">
        <v>9900</v>
      </c>
      <c r="J270" s="12">
        <v>100</v>
      </c>
      <c r="K270" s="10" t="str">
        <f t="shared" si="15"/>
        <v>1  和書</v>
      </c>
      <c r="L270" s="13"/>
    </row>
    <row r="271" spans="1:12" ht="36" x14ac:dyDescent="0.15">
      <c r="A271" s="36">
        <v>270</v>
      </c>
      <c r="B271" s="3" t="s">
        <v>16</v>
      </c>
      <c r="C271" s="10" t="str">
        <f>"0001263381"</f>
        <v>0001263381</v>
      </c>
      <c r="D271" s="11" t="str">
        <f t="shared" si="16"/>
        <v>OpenGL programming guide(日本語版) : the official guide to learning OpenGL, release 1 / OpenGL Architecture Review Board [ほか] 著 ; システムソフトエンジニアリング訳.</v>
      </c>
      <c r="E271" s="11" t="str">
        <f>""</f>
        <v/>
      </c>
      <c r="F271" s="28" t="s">
        <v>8</v>
      </c>
      <c r="G271" s="29" t="str">
        <f t="shared" si="17"/>
        <v>007.63/ｵﾌﾟ</v>
      </c>
      <c r="H271" s="10" t="str">
        <f t="shared" si="18"/>
        <v>1996/02/20</v>
      </c>
      <c r="I271" s="12">
        <v>9900</v>
      </c>
      <c r="J271" s="12">
        <v>100</v>
      </c>
      <c r="K271" s="10" t="str">
        <f t="shared" si="15"/>
        <v>1  和書</v>
      </c>
      <c r="L271" s="13"/>
    </row>
    <row r="272" spans="1:12" ht="36" x14ac:dyDescent="0.15">
      <c r="A272" s="36">
        <v>271</v>
      </c>
      <c r="B272" s="3" t="s">
        <v>16</v>
      </c>
      <c r="C272" s="10" t="str">
        <f>"0001263398"</f>
        <v>0001263398</v>
      </c>
      <c r="D272" s="11" t="str">
        <f t="shared" si="16"/>
        <v>OpenGL programming guide(日本語版) : the official guide to learning OpenGL, release 1 / OpenGL Architecture Review Board [ほか] 著 ; システムソフトエンジニアリング訳.</v>
      </c>
      <c r="E272" s="11" t="str">
        <f>""</f>
        <v/>
      </c>
      <c r="F272" s="28" t="s">
        <v>8</v>
      </c>
      <c r="G272" s="29" t="str">
        <f t="shared" si="17"/>
        <v>007.63/ｵﾌﾟ</v>
      </c>
      <c r="H272" s="10" t="str">
        <f t="shared" si="18"/>
        <v>1996/02/20</v>
      </c>
      <c r="I272" s="12">
        <v>9900</v>
      </c>
      <c r="J272" s="12">
        <v>100</v>
      </c>
      <c r="K272" s="10" t="str">
        <f t="shared" si="15"/>
        <v>1  和書</v>
      </c>
      <c r="L272" s="13"/>
    </row>
    <row r="273" spans="1:12" ht="36" x14ac:dyDescent="0.15">
      <c r="A273" s="36">
        <v>272</v>
      </c>
      <c r="B273" s="3" t="s">
        <v>16</v>
      </c>
      <c r="C273" s="10" t="str">
        <f>"0001263404"</f>
        <v>0001263404</v>
      </c>
      <c r="D273" s="11" t="str">
        <f t="shared" si="16"/>
        <v>OpenGL programming guide(日本語版) : the official guide to learning OpenGL, release 1 / OpenGL Architecture Review Board [ほか] 著 ; システムソフトエンジニアリング訳.</v>
      </c>
      <c r="E273" s="11" t="str">
        <f>""</f>
        <v/>
      </c>
      <c r="F273" s="28" t="s">
        <v>8</v>
      </c>
      <c r="G273" s="29" t="str">
        <f t="shared" si="17"/>
        <v>007.63/ｵﾌﾟ</v>
      </c>
      <c r="H273" s="10" t="str">
        <f t="shared" si="18"/>
        <v>1996/02/20</v>
      </c>
      <c r="I273" s="12">
        <v>9900</v>
      </c>
      <c r="J273" s="12">
        <v>100</v>
      </c>
      <c r="K273" s="10" t="str">
        <f t="shared" si="15"/>
        <v>1  和書</v>
      </c>
      <c r="L273" s="13"/>
    </row>
    <row r="274" spans="1:12" ht="36" x14ac:dyDescent="0.15">
      <c r="A274" s="36">
        <v>273</v>
      </c>
      <c r="B274" s="3" t="s">
        <v>16</v>
      </c>
      <c r="C274" s="10" t="str">
        <f>"0001263428"</f>
        <v>0001263428</v>
      </c>
      <c r="D274" s="11" t="str">
        <f t="shared" si="16"/>
        <v>OpenGL programming guide(日本語版) : the official guide to learning OpenGL, release 1 / OpenGL Architecture Review Board [ほか] 著 ; システムソフトエンジニアリング訳.</v>
      </c>
      <c r="E274" s="11" t="str">
        <f>""</f>
        <v/>
      </c>
      <c r="F274" s="28" t="s">
        <v>8</v>
      </c>
      <c r="G274" s="29" t="str">
        <f t="shared" si="17"/>
        <v>007.63/ｵﾌﾟ</v>
      </c>
      <c r="H274" s="10" t="str">
        <f t="shared" si="18"/>
        <v>1996/02/20</v>
      </c>
      <c r="I274" s="12">
        <v>9900</v>
      </c>
      <c r="J274" s="12">
        <v>100</v>
      </c>
      <c r="K274" s="10" t="str">
        <f t="shared" si="15"/>
        <v>1  和書</v>
      </c>
      <c r="L274" s="13"/>
    </row>
    <row r="275" spans="1:12" ht="36" x14ac:dyDescent="0.15">
      <c r="A275" s="36">
        <v>274</v>
      </c>
      <c r="B275" s="3" t="s">
        <v>16</v>
      </c>
      <c r="C275" s="10" t="str">
        <f>"0001263435"</f>
        <v>0001263435</v>
      </c>
      <c r="D275" s="11" t="str">
        <f t="shared" si="16"/>
        <v>OpenGL programming guide(日本語版) : the official guide to learning OpenGL, release 1 / OpenGL Architecture Review Board [ほか] 著 ; システムソフトエンジニアリング訳.</v>
      </c>
      <c r="E275" s="11" t="str">
        <f>""</f>
        <v/>
      </c>
      <c r="F275" s="28" t="s">
        <v>8</v>
      </c>
      <c r="G275" s="29" t="str">
        <f t="shared" si="17"/>
        <v>007.63/ｵﾌﾟ</v>
      </c>
      <c r="H275" s="10" t="str">
        <f t="shared" si="18"/>
        <v>1996/02/20</v>
      </c>
      <c r="I275" s="12">
        <v>9900</v>
      </c>
      <c r="J275" s="12">
        <v>100</v>
      </c>
      <c r="K275" s="10" t="str">
        <f t="shared" si="15"/>
        <v>1  和書</v>
      </c>
      <c r="L275" s="13"/>
    </row>
    <row r="276" spans="1:12" ht="36" x14ac:dyDescent="0.15">
      <c r="A276" s="36">
        <v>275</v>
      </c>
      <c r="B276" s="3" t="s">
        <v>16</v>
      </c>
      <c r="C276" s="10" t="str">
        <f>"0001263442"</f>
        <v>0001263442</v>
      </c>
      <c r="D276" s="11" t="str">
        <f t="shared" si="16"/>
        <v>OpenGL programming guide(日本語版) : the official guide to learning OpenGL, release 1 / OpenGL Architecture Review Board [ほか] 著 ; システムソフトエンジニアリング訳.</v>
      </c>
      <c r="E276" s="11" t="str">
        <f>""</f>
        <v/>
      </c>
      <c r="F276" s="28" t="s">
        <v>8</v>
      </c>
      <c r="G276" s="29" t="str">
        <f t="shared" si="17"/>
        <v>007.63/ｵﾌﾟ</v>
      </c>
      <c r="H276" s="10" t="str">
        <f t="shared" si="18"/>
        <v>1996/02/20</v>
      </c>
      <c r="I276" s="12">
        <v>9900</v>
      </c>
      <c r="J276" s="12">
        <v>100</v>
      </c>
      <c r="K276" s="10" t="str">
        <f t="shared" si="15"/>
        <v>1  和書</v>
      </c>
      <c r="L276" s="13"/>
    </row>
    <row r="277" spans="1:12" ht="36" x14ac:dyDescent="0.15">
      <c r="A277" s="36">
        <v>276</v>
      </c>
      <c r="B277" s="3" t="s">
        <v>16</v>
      </c>
      <c r="C277" s="10" t="str">
        <f>"0001263459"</f>
        <v>0001263459</v>
      </c>
      <c r="D277" s="11" t="str">
        <f t="shared" si="16"/>
        <v>OpenGL programming guide(日本語版) : the official guide to learning OpenGL, release 1 / OpenGL Architecture Review Board [ほか] 著 ; システムソフトエンジニアリング訳.</v>
      </c>
      <c r="E277" s="11" t="str">
        <f>""</f>
        <v/>
      </c>
      <c r="F277" s="28" t="s">
        <v>8</v>
      </c>
      <c r="G277" s="29" t="str">
        <f t="shared" si="17"/>
        <v>007.63/ｵﾌﾟ</v>
      </c>
      <c r="H277" s="10" t="str">
        <f t="shared" si="18"/>
        <v>1996/02/20</v>
      </c>
      <c r="I277" s="12">
        <v>9900</v>
      </c>
      <c r="J277" s="12">
        <v>100</v>
      </c>
      <c r="K277" s="10" t="str">
        <f t="shared" si="15"/>
        <v>1  和書</v>
      </c>
      <c r="L277" s="13"/>
    </row>
    <row r="278" spans="1:12" ht="36" x14ac:dyDescent="0.15">
      <c r="A278" s="36">
        <v>277</v>
      </c>
      <c r="B278" s="3" t="s">
        <v>16</v>
      </c>
      <c r="C278" s="10" t="str">
        <f>"0001263466"</f>
        <v>0001263466</v>
      </c>
      <c r="D278" s="11" t="str">
        <f t="shared" si="16"/>
        <v>OpenGL programming guide(日本語版) : the official guide to learning OpenGL, release 1 / OpenGL Architecture Review Board [ほか] 著 ; システムソフトエンジニアリング訳.</v>
      </c>
      <c r="E278" s="11" t="str">
        <f>""</f>
        <v/>
      </c>
      <c r="F278" s="28" t="s">
        <v>8</v>
      </c>
      <c r="G278" s="29" t="str">
        <f t="shared" si="17"/>
        <v>007.63/ｵﾌﾟ</v>
      </c>
      <c r="H278" s="10" t="str">
        <f t="shared" si="18"/>
        <v>1996/02/20</v>
      </c>
      <c r="I278" s="12">
        <v>9900</v>
      </c>
      <c r="J278" s="12">
        <v>100</v>
      </c>
      <c r="K278" s="10" t="str">
        <f t="shared" si="15"/>
        <v>1  和書</v>
      </c>
      <c r="L278" s="13"/>
    </row>
    <row r="279" spans="1:12" ht="36" x14ac:dyDescent="0.15">
      <c r="A279" s="36">
        <v>278</v>
      </c>
      <c r="B279" s="3" t="s">
        <v>16</v>
      </c>
      <c r="C279" s="10" t="str">
        <f>"0001263473"</f>
        <v>0001263473</v>
      </c>
      <c r="D279" s="11" t="str">
        <f t="shared" si="16"/>
        <v>OpenGL programming guide(日本語版) : the official guide to learning OpenGL, release 1 / OpenGL Architecture Review Board [ほか] 著 ; システムソフトエンジニアリング訳.</v>
      </c>
      <c r="E279" s="11" t="str">
        <f>""</f>
        <v/>
      </c>
      <c r="F279" s="28" t="s">
        <v>8</v>
      </c>
      <c r="G279" s="29" t="str">
        <f t="shared" si="17"/>
        <v>007.63/ｵﾌﾟ</v>
      </c>
      <c r="H279" s="10" t="str">
        <f t="shared" si="18"/>
        <v>1996/02/20</v>
      </c>
      <c r="I279" s="12">
        <v>9900</v>
      </c>
      <c r="J279" s="12">
        <v>100</v>
      </c>
      <c r="K279" s="10" t="str">
        <f t="shared" si="15"/>
        <v>1  和書</v>
      </c>
      <c r="L279" s="13"/>
    </row>
    <row r="280" spans="1:12" ht="36" x14ac:dyDescent="0.15">
      <c r="A280" s="36">
        <v>279</v>
      </c>
      <c r="B280" s="3" t="s">
        <v>16</v>
      </c>
      <c r="C280" s="10" t="str">
        <f>"0001263480"</f>
        <v>0001263480</v>
      </c>
      <c r="D280" s="11" t="str">
        <f t="shared" si="16"/>
        <v>OpenGL programming guide(日本語版) : the official guide to learning OpenGL, release 1 / OpenGL Architecture Review Board [ほか] 著 ; システムソフトエンジニアリング訳.</v>
      </c>
      <c r="E280" s="11" t="str">
        <f>""</f>
        <v/>
      </c>
      <c r="F280" s="28" t="s">
        <v>8</v>
      </c>
      <c r="G280" s="29" t="str">
        <f t="shared" si="17"/>
        <v>007.63/ｵﾌﾟ</v>
      </c>
      <c r="H280" s="10" t="str">
        <f t="shared" si="18"/>
        <v>1996/02/20</v>
      </c>
      <c r="I280" s="12">
        <v>9900</v>
      </c>
      <c r="J280" s="12">
        <v>100</v>
      </c>
      <c r="K280" s="10" t="str">
        <f t="shared" si="15"/>
        <v>1  和書</v>
      </c>
      <c r="L280" s="13"/>
    </row>
    <row r="281" spans="1:12" ht="36" x14ac:dyDescent="0.15">
      <c r="A281" s="36">
        <v>280</v>
      </c>
      <c r="B281" s="3" t="s">
        <v>16</v>
      </c>
      <c r="C281" s="10" t="str">
        <f>"0001263497"</f>
        <v>0001263497</v>
      </c>
      <c r="D281" s="11" t="str">
        <f t="shared" si="16"/>
        <v>OpenGL programming guide(日本語版) : the official guide to learning OpenGL, release 1 / OpenGL Architecture Review Board [ほか] 著 ; システムソフトエンジニアリング訳.</v>
      </c>
      <c r="E281" s="11" t="str">
        <f>""</f>
        <v/>
      </c>
      <c r="F281" s="28" t="s">
        <v>8</v>
      </c>
      <c r="G281" s="29" t="str">
        <f t="shared" si="17"/>
        <v>007.63/ｵﾌﾟ</v>
      </c>
      <c r="H281" s="10" t="str">
        <f t="shared" si="18"/>
        <v>1996/02/20</v>
      </c>
      <c r="I281" s="12">
        <v>9900</v>
      </c>
      <c r="J281" s="12">
        <v>100</v>
      </c>
      <c r="K281" s="10" t="str">
        <f t="shared" si="15"/>
        <v>1  和書</v>
      </c>
      <c r="L281" s="13"/>
    </row>
    <row r="282" spans="1:12" ht="36" x14ac:dyDescent="0.15">
      <c r="A282" s="36">
        <v>281</v>
      </c>
      <c r="B282" s="3" t="s">
        <v>16</v>
      </c>
      <c r="C282" s="10" t="str">
        <f>"0001263503"</f>
        <v>0001263503</v>
      </c>
      <c r="D282" s="11" t="str">
        <f t="shared" si="16"/>
        <v>OpenGL programming guide(日本語版) : the official guide to learning OpenGL, release 1 / OpenGL Architecture Review Board [ほか] 著 ; システムソフトエンジニアリング訳.</v>
      </c>
      <c r="E282" s="11" t="str">
        <f>""</f>
        <v/>
      </c>
      <c r="F282" s="28" t="s">
        <v>8</v>
      </c>
      <c r="G282" s="29" t="str">
        <f t="shared" si="17"/>
        <v>007.63/ｵﾌﾟ</v>
      </c>
      <c r="H282" s="10" t="str">
        <f t="shared" si="18"/>
        <v>1996/02/20</v>
      </c>
      <c r="I282" s="12">
        <v>9900</v>
      </c>
      <c r="J282" s="12">
        <v>100</v>
      </c>
      <c r="K282" s="10" t="str">
        <f t="shared" si="15"/>
        <v>1  和書</v>
      </c>
      <c r="L282" s="13"/>
    </row>
    <row r="283" spans="1:12" ht="36" x14ac:dyDescent="0.15">
      <c r="A283" s="36">
        <v>282</v>
      </c>
      <c r="B283" s="3" t="s">
        <v>16</v>
      </c>
      <c r="C283" s="10" t="str">
        <f>"0001263510"</f>
        <v>0001263510</v>
      </c>
      <c r="D283" s="11" t="str">
        <f t="shared" si="16"/>
        <v>OpenGL programming guide(日本語版) : the official guide to learning OpenGL, release 1 / OpenGL Architecture Review Board [ほか] 著 ; システムソフトエンジニアリング訳.</v>
      </c>
      <c r="E283" s="11" t="str">
        <f>""</f>
        <v/>
      </c>
      <c r="F283" s="28" t="s">
        <v>8</v>
      </c>
      <c r="G283" s="29" t="str">
        <f t="shared" si="17"/>
        <v>007.63/ｵﾌﾟ</v>
      </c>
      <c r="H283" s="10" t="str">
        <f t="shared" si="18"/>
        <v>1996/02/20</v>
      </c>
      <c r="I283" s="12">
        <v>9900</v>
      </c>
      <c r="J283" s="12">
        <v>100</v>
      </c>
      <c r="K283" s="10" t="str">
        <f t="shared" si="15"/>
        <v>1  和書</v>
      </c>
      <c r="L283" s="13"/>
    </row>
    <row r="284" spans="1:12" ht="36" x14ac:dyDescent="0.15">
      <c r="A284" s="36">
        <v>283</v>
      </c>
      <c r="B284" s="3" t="s">
        <v>16</v>
      </c>
      <c r="C284" s="10" t="str">
        <f>"0001263527"</f>
        <v>0001263527</v>
      </c>
      <c r="D284" s="11" t="str">
        <f t="shared" si="16"/>
        <v>OpenGL programming guide(日本語版) : the official guide to learning OpenGL, release 1 / OpenGL Architecture Review Board [ほか] 著 ; システムソフトエンジニアリング訳.</v>
      </c>
      <c r="E284" s="11" t="str">
        <f>""</f>
        <v/>
      </c>
      <c r="F284" s="28" t="s">
        <v>8</v>
      </c>
      <c r="G284" s="29" t="str">
        <f t="shared" si="17"/>
        <v>007.63/ｵﾌﾟ</v>
      </c>
      <c r="H284" s="10" t="str">
        <f t="shared" si="18"/>
        <v>1996/02/20</v>
      </c>
      <c r="I284" s="12">
        <v>9900</v>
      </c>
      <c r="J284" s="12">
        <v>100</v>
      </c>
      <c r="K284" s="10" t="str">
        <f t="shared" si="15"/>
        <v>1  和書</v>
      </c>
      <c r="L284" s="13"/>
    </row>
    <row r="285" spans="1:12" ht="36" x14ac:dyDescent="0.15">
      <c r="A285" s="36">
        <v>284</v>
      </c>
      <c r="B285" s="3" t="s">
        <v>16</v>
      </c>
      <c r="C285" s="10" t="str">
        <f>"0001263534"</f>
        <v>0001263534</v>
      </c>
      <c r="D285" s="11" t="str">
        <f t="shared" si="16"/>
        <v>OpenGL programming guide(日本語版) : the official guide to learning OpenGL, release 1 / OpenGL Architecture Review Board [ほか] 著 ; システムソフトエンジニアリング訳.</v>
      </c>
      <c r="E285" s="11" t="str">
        <f>""</f>
        <v/>
      </c>
      <c r="F285" s="28" t="s">
        <v>8</v>
      </c>
      <c r="G285" s="29" t="str">
        <f t="shared" si="17"/>
        <v>007.63/ｵﾌﾟ</v>
      </c>
      <c r="H285" s="10" t="str">
        <f t="shared" si="18"/>
        <v>1996/02/20</v>
      </c>
      <c r="I285" s="12">
        <v>9900</v>
      </c>
      <c r="J285" s="12">
        <v>100</v>
      </c>
      <c r="K285" s="10" t="str">
        <f t="shared" si="15"/>
        <v>1  和書</v>
      </c>
      <c r="L285" s="13"/>
    </row>
    <row r="286" spans="1:12" ht="36" x14ac:dyDescent="0.15">
      <c r="A286" s="36">
        <v>285</v>
      </c>
      <c r="B286" s="3" t="s">
        <v>16</v>
      </c>
      <c r="C286" s="10" t="str">
        <f>"0001263541"</f>
        <v>0001263541</v>
      </c>
      <c r="D286" s="11" t="str">
        <f t="shared" si="16"/>
        <v>OpenGL programming guide(日本語版) : the official guide to learning OpenGL, release 1 / OpenGL Architecture Review Board [ほか] 著 ; システムソフトエンジニアリング訳.</v>
      </c>
      <c r="E286" s="11" t="str">
        <f>""</f>
        <v/>
      </c>
      <c r="F286" s="28" t="s">
        <v>8</v>
      </c>
      <c r="G286" s="29" t="str">
        <f t="shared" si="17"/>
        <v>007.63/ｵﾌﾟ</v>
      </c>
      <c r="H286" s="10" t="str">
        <f t="shared" si="18"/>
        <v>1996/02/20</v>
      </c>
      <c r="I286" s="12">
        <v>9900</v>
      </c>
      <c r="J286" s="12">
        <v>100</v>
      </c>
      <c r="K286" s="10" t="str">
        <f t="shared" si="15"/>
        <v>1  和書</v>
      </c>
      <c r="L286" s="13"/>
    </row>
    <row r="287" spans="1:12" ht="36" x14ac:dyDescent="0.15">
      <c r="A287" s="36">
        <v>286</v>
      </c>
      <c r="B287" s="3" t="s">
        <v>16</v>
      </c>
      <c r="C287" s="10" t="str">
        <f>"0001263558"</f>
        <v>0001263558</v>
      </c>
      <c r="D287" s="11" t="str">
        <f t="shared" si="16"/>
        <v>OpenGL programming guide(日本語版) : the official guide to learning OpenGL, release 1 / OpenGL Architecture Review Board [ほか] 著 ; システムソフトエンジニアリング訳.</v>
      </c>
      <c r="E287" s="11" t="str">
        <f>""</f>
        <v/>
      </c>
      <c r="F287" s="28" t="s">
        <v>8</v>
      </c>
      <c r="G287" s="29" t="str">
        <f t="shared" si="17"/>
        <v>007.63/ｵﾌﾟ</v>
      </c>
      <c r="H287" s="10" t="str">
        <f t="shared" si="18"/>
        <v>1996/02/20</v>
      </c>
      <c r="I287" s="12">
        <v>9900</v>
      </c>
      <c r="J287" s="12">
        <v>100</v>
      </c>
      <c r="K287" s="10" t="str">
        <f t="shared" si="15"/>
        <v>1  和書</v>
      </c>
      <c r="L287" s="13"/>
    </row>
    <row r="288" spans="1:12" ht="36" x14ac:dyDescent="0.15">
      <c r="A288" s="36">
        <v>287</v>
      </c>
      <c r="B288" s="3" t="s">
        <v>16</v>
      </c>
      <c r="C288" s="10" t="str">
        <f>"0001263565"</f>
        <v>0001263565</v>
      </c>
      <c r="D288" s="11" t="str">
        <f t="shared" si="16"/>
        <v>OpenGL programming guide(日本語版) : the official guide to learning OpenGL, release 1 / OpenGL Architecture Review Board [ほか] 著 ; システムソフトエンジニアリング訳.</v>
      </c>
      <c r="E288" s="11" t="str">
        <f>""</f>
        <v/>
      </c>
      <c r="F288" s="28" t="s">
        <v>8</v>
      </c>
      <c r="G288" s="29" t="str">
        <f t="shared" si="17"/>
        <v>007.63/ｵﾌﾟ</v>
      </c>
      <c r="H288" s="10" t="str">
        <f t="shared" si="18"/>
        <v>1996/02/20</v>
      </c>
      <c r="I288" s="12">
        <v>9900</v>
      </c>
      <c r="J288" s="12">
        <v>100</v>
      </c>
      <c r="K288" s="10" t="str">
        <f t="shared" si="15"/>
        <v>1  和書</v>
      </c>
      <c r="L288" s="13"/>
    </row>
    <row r="289" spans="1:12" ht="36" x14ac:dyDescent="0.15">
      <c r="A289" s="36">
        <v>288</v>
      </c>
      <c r="B289" s="3" t="s">
        <v>16</v>
      </c>
      <c r="C289" s="10" t="str">
        <f>"0001283662"</f>
        <v>0001283662</v>
      </c>
      <c r="D289" s="11" t="str">
        <f t="shared" si="16"/>
        <v>OpenGL programming guide(日本語版) : the official guide to learning OpenGL, release 1 / OpenGL Architecture Review Board [ほか] 著 ; システムソフトエンジニアリング訳.</v>
      </c>
      <c r="E289" s="11" t="str">
        <f>""</f>
        <v/>
      </c>
      <c r="F289" s="28" t="s">
        <v>8</v>
      </c>
      <c r="G289" s="29" t="str">
        <f t="shared" si="17"/>
        <v>007.63/ｵﾌﾟ</v>
      </c>
      <c r="H289" s="10" t="str">
        <f t="shared" ref="H289:H345" si="19">"1997/01/29"</f>
        <v>1997/01/29</v>
      </c>
      <c r="I289" s="12">
        <v>9900</v>
      </c>
      <c r="J289" s="12">
        <v>100</v>
      </c>
      <c r="K289" s="10" t="str">
        <f t="shared" si="15"/>
        <v>1  和書</v>
      </c>
      <c r="L289" s="13"/>
    </row>
    <row r="290" spans="1:12" ht="36" x14ac:dyDescent="0.15">
      <c r="A290" s="36">
        <v>289</v>
      </c>
      <c r="B290" s="3" t="s">
        <v>16</v>
      </c>
      <c r="C290" s="10" t="str">
        <f>"0001283679"</f>
        <v>0001283679</v>
      </c>
      <c r="D290" s="11" t="str">
        <f t="shared" si="16"/>
        <v>OpenGL programming guide(日本語版) : the official guide to learning OpenGL, release 1 / OpenGL Architecture Review Board [ほか] 著 ; システムソフトエンジニアリング訳.</v>
      </c>
      <c r="E290" s="11" t="str">
        <f>""</f>
        <v/>
      </c>
      <c r="F290" s="28" t="s">
        <v>8</v>
      </c>
      <c r="G290" s="29" t="str">
        <f t="shared" si="17"/>
        <v>007.63/ｵﾌﾟ</v>
      </c>
      <c r="H290" s="10" t="str">
        <f t="shared" si="19"/>
        <v>1997/01/29</v>
      </c>
      <c r="I290" s="12">
        <v>9900</v>
      </c>
      <c r="J290" s="12">
        <v>100</v>
      </c>
      <c r="K290" s="10" t="str">
        <f t="shared" si="15"/>
        <v>1  和書</v>
      </c>
      <c r="L290" s="13"/>
    </row>
    <row r="291" spans="1:12" ht="36" x14ac:dyDescent="0.15">
      <c r="A291" s="36">
        <v>290</v>
      </c>
      <c r="B291" s="3" t="s">
        <v>16</v>
      </c>
      <c r="C291" s="10" t="str">
        <f>"0001283686"</f>
        <v>0001283686</v>
      </c>
      <c r="D291" s="11" t="str">
        <f t="shared" si="16"/>
        <v>OpenGL programming guide(日本語版) : the official guide to learning OpenGL, release 1 / OpenGL Architecture Review Board [ほか] 著 ; システムソフトエンジニアリング訳.</v>
      </c>
      <c r="E291" s="11" t="str">
        <f>""</f>
        <v/>
      </c>
      <c r="F291" s="28" t="s">
        <v>8</v>
      </c>
      <c r="G291" s="29" t="str">
        <f t="shared" si="17"/>
        <v>007.63/ｵﾌﾟ</v>
      </c>
      <c r="H291" s="10" t="str">
        <f t="shared" si="19"/>
        <v>1997/01/29</v>
      </c>
      <c r="I291" s="12">
        <v>9900</v>
      </c>
      <c r="J291" s="12">
        <v>100</v>
      </c>
      <c r="K291" s="10" t="str">
        <f t="shared" si="15"/>
        <v>1  和書</v>
      </c>
      <c r="L291" s="13"/>
    </row>
    <row r="292" spans="1:12" ht="36" x14ac:dyDescent="0.15">
      <c r="A292" s="36">
        <v>291</v>
      </c>
      <c r="B292" s="3" t="s">
        <v>16</v>
      </c>
      <c r="C292" s="10" t="str">
        <f>"0001283693"</f>
        <v>0001283693</v>
      </c>
      <c r="D292" s="11" t="str">
        <f t="shared" si="16"/>
        <v>OpenGL programming guide(日本語版) : the official guide to learning OpenGL, release 1 / OpenGL Architecture Review Board [ほか] 著 ; システムソフトエンジニアリング訳.</v>
      </c>
      <c r="E292" s="11" t="str">
        <f>""</f>
        <v/>
      </c>
      <c r="F292" s="28" t="s">
        <v>8</v>
      </c>
      <c r="G292" s="29" t="str">
        <f t="shared" si="17"/>
        <v>007.63/ｵﾌﾟ</v>
      </c>
      <c r="H292" s="10" t="str">
        <f t="shared" si="19"/>
        <v>1997/01/29</v>
      </c>
      <c r="I292" s="12">
        <v>9900</v>
      </c>
      <c r="J292" s="12">
        <v>100</v>
      </c>
      <c r="K292" s="10" t="str">
        <f t="shared" si="15"/>
        <v>1  和書</v>
      </c>
      <c r="L292" s="13"/>
    </row>
    <row r="293" spans="1:12" ht="36" x14ac:dyDescent="0.15">
      <c r="A293" s="36">
        <v>292</v>
      </c>
      <c r="B293" s="3" t="s">
        <v>16</v>
      </c>
      <c r="C293" s="10" t="str">
        <f>"0001283709"</f>
        <v>0001283709</v>
      </c>
      <c r="D293" s="11" t="str">
        <f t="shared" si="16"/>
        <v>OpenGL programming guide(日本語版) : the official guide to learning OpenGL, release 1 / OpenGL Architecture Review Board [ほか] 著 ; システムソフトエンジニアリング訳.</v>
      </c>
      <c r="E293" s="11" t="str">
        <f>""</f>
        <v/>
      </c>
      <c r="F293" s="28" t="s">
        <v>8</v>
      </c>
      <c r="G293" s="29" t="str">
        <f t="shared" si="17"/>
        <v>007.63/ｵﾌﾟ</v>
      </c>
      <c r="H293" s="10" t="str">
        <f t="shared" si="19"/>
        <v>1997/01/29</v>
      </c>
      <c r="I293" s="12">
        <v>9900</v>
      </c>
      <c r="J293" s="12">
        <v>100</v>
      </c>
      <c r="K293" s="10" t="str">
        <f t="shared" si="15"/>
        <v>1  和書</v>
      </c>
      <c r="L293" s="13"/>
    </row>
    <row r="294" spans="1:12" ht="36" x14ac:dyDescent="0.15">
      <c r="A294" s="36">
        <v>293</v>
      </c>
      <c r="B294" s="3" t="s">
        <v>16</v>
      </c>
      <c r="C294" s="10" t="str">
        <f>"0001283716"</f>
        <v>0001283716</v>
      </c>
      <c r="D294" s="11" t="str">
        <f t="shared" si="16"/>
        <v>OpenGL programming guide(日本語版) : the official guide to learning OpenGL, release 1 / OpenGL Architecture Review Board [ほか] 著 ; システムソフトエンジニアリング訳.</v>
      </c>
      <c r="E294" s="11" t="str">
        <f>""</f>
        <v/>
      </c>
      <c r="F294" s="28" t="s">
        <v>8</v>
      </c>
      <c r="G294" s="29" t="str">
        <f t="shared" si="17"/>
        <v>007.63/ｵﾌﾟ</v>
      </c>
      <c r="H294" s="10" t="str">
        <f t="shared" si="19"/>
        <v>1997/01/29</v>
      </c>
      <c r="I294" s="12">
        <v>9900</v>
      </c>
      <c r="J294" s="12">
        <v>100</v>
      </c>
      <c r="K294" s="10" t="str">
        <f t="shared" si="15"/>
        <v>1  和書</v>
      </c>
      <c r="L294" s="13"/>
    </row>
    <row r="295" spans="1:12" ht="36" x14ac:dyDescent="0.15">
      <c r="A295" s="36">
        <v>294</v>
      </c>
      <c r="B295" s="3" t="s">
        <v>16</v>
      </c>
      <c r="C295" s="10" t="str">
        <f>"0001283723"</f>
        <v>0001283723</v>
      </c>
      <c r="D295" s="11" t="str">
        <f t="shared" si="16"/>
        <v>OpenGL programming guide(日本語版) : the official guide to learning OpenGL, release 1 / OpenGL Architecture Review Board [ほか] 著 ; システムソフトエンジニアリング訳.</v>
      </c>
      <c r="E295" s="11" t="str">
        <f>""</f>
        <v/>
      </c>
      <c r="F295" s="28" t="s">
        <v>8</v>
      </c>
      <c r="G295" s="29" t="str">
        <f t="shared" si="17"/>
        <v>007.63/ｵﾌﾟ</v>
      </c>
      <c r="H295" s="10" t="str">
        <f t="shared" si="19"/>
        <v>1997/01/29</v>
      </c>
      <c r="I295" s="12">
        <v>9900</v>
      </c>
      <c r="J295" s="12">
        <v>100</v>
      </c>
      <c r="K295" s="10" t="str">
        <f t="shared" si="15"/>
        <v>1  和書</v>
      </c>
      <c r="L295" s="13"/>
    </row>
    <row r="296" spans="1:12" ht="36" x14ac:dyDescent="0.15">
      <c r="A296" s="36">
        <v>295</v>
      </c>
      <c r="B296" s="3" t="s">
        <v>16</v>
      </c>
      <c r="C296" s="10" t="str">
        <f>"0001283730"</f>
        <v>0001283730</v>
      </c>
      <c r="D296" s="11" t="str">
        <f t="shared" si="16"/>
        <v>OpenGL programming guide(日本語版) : the official guide to learning OpenGL, release 1 / OpenGL Architecture Review Board [ほか] 著 ; システムソフトエンジニアリング訳.</v>
      </c>
      <c r="E296" s="11" t="str">
        <f>""</f>
        <v/>
      </c>
      <c r="F296" s="28" t="s">
        <v>8</v>
      </c>
      <c r="G296" s="29" t="str">
        <f t="shared" si="17"/>
        <v>007.63/ｵﾌﾟ</v>
      </c>
      <c r="H296" s="10" t="str">
        <f t="shared" si="19"/>
        <v>1997/01/29</v>
      </c>
      <c r="I296" s="12">
        <v>9900</v>
      </c>
      <c r="J296" s="12">
        <v>100</v>
      </c>
      <c r="K296" s="10" t="str">
        <f t="shared" si="15"/>
        <v>1  和書</v>
      </c>
      <c r="L296" s="13"/>
    </row>
    <row r="297" spans="1:12" ht="36" x14ac:dyDescent="0.15">
      <c r="A297" s="36">
        <v>296</v>
      </c>
      <c r="B297" s="3" t="s">
        <v>16</v>
      </c>
      <c r="C297" s="10" t="str">
        <f>"0001283747"</f>
        <v>0001283747</v>
      </c>
      <c r="D297" s="11" t="str">
        <f t="shared" si="16"/>
        <v>OpenGL programming guide(日本語版) : the official guide to learning OpenGL, release 1 / OpenGL Architecture Review Board [ほか] 著 ; システムソフトエンジニアリング訳.</v>
      </c>
      <c r="E297" s="11" t="str">
        <f>""</f>
        <v/>
      </c>
      <c r="F297" s="28" t="s">
        <v>8</v>
      </c>
      <c r="G297" s="29" t="str">
        <f t="shared" si="17"/>
        <v>007.63/ｵﾌﾟ</v>
      </c>
      <c r="H297" s="10" t="str">
        <f t="shared" si="19"/>
        <v>1997/01/29</v>
      </c>
      <c r="I297" s="12">
        <v>9900</v>
      </c>
      <c r="J297" s="12">
        <v>100</v>
      </c>
      <c r="K297" s="10" t="str">
        <f t="shared" si="15"/>
        <v>1  和書</v>
      </c>
      <c r="L297" s="13"/>
    </row>
    <row r="298" spans="1:12" ht="36" x14ac:dyDescent="0.15">
      <c r="A298" s="36">
        <v>297</v>
      </c>
      <c r="B298" s="3" t="s">
        <v>16</v>
      </c>
      <c r="C298" s="10" t="str">
        <f>"0001283754"</f>
        <v>0001283754</v>
      </c>
      <c r="D298" s="11" t="str">
        <f t="shared" si="16"/>
        <v>OpenGL programming guide(日本語版) : the official guide to learning OpenGL, release 1 / OpenGL Architecture Review Board [ほか] 著 ; システムソフトエンジニアリング訳.</v>
      </c>
      <c r="E298" s="11" t="str">
        <f>""</f>
        <v/>
      </c>
      <c r="F298" s="28" t="s">
        <v>8</v>
      </c>
      <c r="G298" s="29" t="str">
        <f t="shared" si="17"/>
        <v>007.63/ｵﾌﾟ</v>
      </c>
      <c r="H298" s="10" t="str">
        <f t="shared" si="19"/>
        <v>1997/01/29</v>
      </c>
      <c r="I298" s="12">
        <v>9900</v>
      </c>
      <c r="J298" s="12">
        <v>100</v>
      </c>
      <c r="K298" s="10" t="str">
        <f t="shared" si="15"/>
        <v>1  和書</v>
      </c>
      <c r="L298" s="13"/>
    </row>
    <row r="299" spans="1:12" ht="36" x14ac:dyDescent="0.15">
      <c r="A299" s="36">
        <v>298</v>
      </c>
      <c r="B299" s="3" t="s">
        <v>16</v>
      </c>
      <c r="C299" s="10" t="str">
        <f>"0001283761"</f>
        <v>0001283761</v>
      </c>
      <c r="D299" s="11" t="str">
        <f t="shared" si="16"/>
        <v>OpenGL programming guide(日本語版) : the official guide to learning OpenGL, release 1 / OpenGL Architecture Review Board [ほか] 著 ; システムソフトエンジニアリング訳.</v>
      </c>
      <c r="E299" s="11" t="str">
        <f>""</f>
        <v/>
      </c>
      <c r="F299" s="28" t="s">
        <v>8</v>
      </c>
      <c r="G299" s="29" t="str">
        <f t="shared" si="17"/>
        <v>007.63/ｵﾌﾟ</v>
      </c>
      <c r="H299" s="10" t="str">
        <f t="shared" si="19"/>
        <v>1997/01/29</v>
      </c>
      <c r="I299" s="12">
        <v>9900</v>
      </c>
      <c r="J299" s="12">
        <v>100</v>
      </c>
      <c r="K299" s="10" t="str">
        <f t="shared" si="15"/>
        <v>1  和書</v>
      </c>
      <c r="L299" s="13"/>
    </row>
    <row r="300" spans="1:12" ht="36" x14ac:dyDescent="0.15">
      <c r="A300" s="36">
        <v>299</v>
      </c>
      <c r="B300" s="3" t="s">
        <v>16</v>
      </c>
      <c r="C300" s="10" t="str">
        <f>"0001283778"</f>
        <v>0001283778</v>
      </c>
      <c r="D300" s="11" t="str">
        <f t="shared" si="16"/>
        <v>OpenGL programming guide(日本語版) : the official guide to learning OpenGL, release 1 / OpenGL Architecture Review Board [ほか] 著 ; システムソフトエンジニアリング訳.</v>
      </c>
      <c r="E300" s="11" t="str">
        <f>""</f>
        <v/>
      </c>
      <c r="F300" s="28" t="s">
        <v>8</v>
      </c>
      <c r="G300" s="29" t="str">
        <f t="shared" si="17"/>
        <v>007.63/ｵﾌﾟ</v>
      </c>
      <c r="H300" s="10" t="str">
        <f t="shared" si="19"/>
        <v>1997/01/29</v>
      </c>
      <c r="I300" s="12">
        <v>9900</v>
      </c>
      <c r="J300" s="12">
        <v>100</v>
      </c>
      <c r="K300" s="10" t="str">
        <f t="shared" si="15"/>
        <v>1  和書</v>
      </c>
      <c r="L300" s="13"/>
    </row>
    <row r="301" spans="1:12" ht="36" x14ac:dyDescent="0.15">
      <c r="A301" s="36">
        <v>300</v>
      </c>
      <c r="B301" s="3" t="s">
        <v>16</v>
      </c>
      <c r="C301" s="10" t="str">
        <f>"0001283785"</f>
        <v>0001283785</v>
      </c>
      <c r="D301" s="11" t="str">
        <f t="shared" si="16"/>
        <v>OpenGL programming guide(日本語版) : the official guide to learning OpenGL, release 1 / OpenGL Architecture Review Board [ほか] 著 ; システムソフトエンジニアリング訳.</v>
      </c>
      <c r="E301" s="11" t="str">
        <f>""</f>
        <v/>
      </c>
      <c r="F301" s="28" t="s">
        <v>8</v>
      </c>
      <c r="G301" s="29" t="str">
        <f t="shared" si="17"/>
        <v>007.63/ｵﾌﾟ</v>
      </c>
      <c r="H301" s="10" t="str">
        <f t="shared" si="19"/>
        <v>1997/01/29</v>
      </c>
      <c r="I301" s="12">
        <v>9900</v>
      </c>
      <c r="J301" s="12">
        <v>100</v>
      </c>
      <c r="K301" s="10" t="str">
        <f t="shared" si="15"/>
        <v>1  和書</v>
      </c>
      <c r="L301" s="13"/>
    </row>
    <row r="302" spans="1:12" ht="36" x14ac:dyDescent="0.15">
      <c r="A302" s="36">
        <v>301</v>
      </c>
      <c r="B302" s="3" t="s">
        <v>16</v>
      </c>
      <c r="C302" s="10" t="str">
        <f>"0001283792"</f>
        <v>0001283792</v>
      </c>
      <c r="D302" s="11" t="str">
        <f t="shared" si="16"/>
        <v>OpenGL programming guide(日本語版) : the official guide to learning OpenGL, release 1 / OpenGL Architecture Review Board [ほか] 著 ; システムソフトエンジニアリング訳.</v>
      </c>
      <c r="E302" s="11" t="str">
        <f>""</f>
        <v/>
      </c>
      <c r="F302" s="28" t="s">
        <v>8</v>
      </c>
      <c r="G302" s="29" t="str">
        <f t="shared" si="17"/>
        <v>007.63/ｵﾌﾟ</v>
      </c>
      <c r="H302" s="10" t="str">
        <f t="shared" si="19"/>
        <v>1997/01/29</v>
      </c>
      <c r="I302" s="12">
        <v>9900</v>
      </c>
      <c r="J302" s="12">
        <v>100</v>
      </c>
      <c r="K302" s="10" t="str">
        <f t="shared" si="15"/>
        <v>1  和書</v>
      </c>
      <c r="L302" s="13"/>
    </row>
    <row r="303" spans="1:12" ht="36" x14ac:dyDescent="0.15">
      <c r="A303" s="36">
        <v>302</v>
      </c>
      <c r="B303" s="3" t="s">
        <v>16</v>
      </c>
      <c r="C303" s="10" t="str">
        <f>"0001283808"</f>
        <v>0001283808</v>
      </c>
      <c r="D303" s="11" t="str">
        <f t="shared" si="16"/>
        <v>OpenGL programming guide(日本語版) : the official guide to learning OpenGL, release 1 / OpenGL Architecture Review Board [ほか] 著 ; システムソフトエンジニアリング訳.</v>
      </c>
      <c r="E303" s="11" t="str">
        <f>""</f>
        <v/>
      </c>
      <c r="F303" s="28" t="s">
        <v>8</v>
      </c>
      <c r="G303" s="29" t="str">
        <f t="shared" si="17"/>
        <v>007.63/ｵﾌﾟ</v>
      </c>
      <c r="H303" s="10" t="str">
        <f t="shared" si="19"/>
        <v>1997/01/29</v>
      </c>
      <c r="I303" s="12">
        <v>9900</v>
      </c>
      <c r="J303" s="12">
        <v>100</v>
      </c>
      <c r="K303" s="10" t="str">
        <f t="shared" si="15"/>
        <v>1  和書</v>
      </c>
      <c r="L303" s="13"/>
    </row>
    <row r="304" spans="1:12" ht="36" x14ac:dyDescent="0.15">
      <c r="A304" s="36">
        <v>303</v>
      </c>
      <c r="B304" s="3" t="s">
        <v>16</v>
      </c>
      <c r="C304" s="10" t="str">
        <f>"0001283815"</f>
        <v>0001283815</v>
      </c>
      <c r="D304" s="11" t="str">
        <f t="shared" si="16"/>
        <v>OpenGL programming guide(日本語版) : the official guide to learning OpenGL, release 1 / OpenGL Architecture Review Board [ほか] 著 ; システムソフトエンジニアリング訳.</v>
      </c>
      <c r="E304" s="11" t="str">
        <f>""</f>
        <v/>
      </c>
      <c r="F304" s="28" t="s">
        <v>8</v>
      </c>
      <c r="G304" s="29" t="str">
        <f t="shared" si="17"/>
        <v>007.63/ｵﾌﾟ</v>
      </c>
      <c r="H304" s="10" t="str">
        <f t="shared" si="19"/>
        <v>1997/01/29</v>
      </c>
      <c r="I304" s="12">
        <v>9900</v>
      </c>
      <c r="J304" s="12">
        <v>100</v>
      </c>
      <c r="K304" s="10" t="str">
        <f t="shared" si="15"/>
        <v>1  和書</v>
      </c>
      <c r="L304" s="13"/>
    </row>
    <row r="305" spans="1:12" ht="36" x14ac:dyDescent="0.15">
      <c r="A305" s="36">
        <v>304</v>
      </c>
      <c r="B305" s="3" t="s">
        <v>16</v>
      </c>
      <c r="C305" s="10" t="str">
        <f>"0001283822"</f>
        <v>0001283822</v>
      </c>
      <c r="D305" s="11" t="str">
        <f t="shared" si="16"/>
        <v>OpenGL programming guide(日本語版) : the official guide to learning OpenGL, release 1 / OpenGL Architecture Review Board [ほか] 著 ; システムソフトエンジニアリング訳.</v>
      </c>
      <c r="E305" s="11" t="str">
        <f>""</f>
        <v/>
      </c>
      <c r="F305" s="28" t="s">
        <v>8</v>
      </c>
      <c r="G305" s="29" t="str">
        <f t="shared" si="17"/>
        <v>007.63/ｵﾌﾟ</v>
      </c>
      <c r="H305" s="10" t="str">
        <f t="shared" si="19"/>
        <v>1997/01/29</v>
      </c>
      <c r="I305" s="12">
        <v>9900</v>
      </c>
      <c r="J305" s="12">
        <v>100</v>
      </c>
      <c r="K305" s="10" t="str">
        <f t="shared" si="15"/>
        <v>1  和書</v>
      </c>
      <c r="L305" s="13"/>
    </row>
    <row r="306" spans="1:12" ht="36" x14ac:dyDescent="0.15">
      <c r="A306" s="36">
        <v>305</v>
      </c>
      <c r="B306" s="3" t="s">
        <v>16</v>
      </c>
      <c r="C306" s="10" t="str">
        <f>"0001283839"</f>
        <v>0001283839</v>
      </c>
      <c r="D306" s="11" t="str">
        <f t="shared" si="16"/>
        <v>OpenGL programming guide(日本語版) : the official guide to learning OpenGL, release 1 / OpenGL Architecture Review Board [ほか] 著 ; システムソフトエンジニアリング訳.</v>
      </c>
      <c r="E306" s="11" t="str">
        <f>""</f>
        <v/>
      </c>
      <c r="F306" s="28" t="s">
        <v>8</v>
      </c>
      <c r="G306" s="29" t="str">
        <f t="shared" si="17"/>
        <v>007.63/ｵﾌﾟ</v>
      </c>
      <c r="H306" s="10" t="str">
        <f t="shared" si="19"/>
        <v>1997/01/29</v>
      </c>
      <c r="I306" s="12">
        <v>9900</v>
      </c>
      <c r="J306" s="12">
        <v>100</v>
      </c>
      <c r="K306" s="10" t="str">
        <f t="shared" si="15"/>
        <v>1  和書</v>
      </c>
      <c r="L306" s="13"/>
    </row>
    <row r="307" spans="1:12" ht="36" x14ac:dyDescent="0.15">
      <c r="A307" s="36">
        <v>306</v>
      </c>
      <c r="B307" s="3" t="s">
        <v>16</v>
      </c>
      <c r="C307" s="10" t="str">
        <f>"0001283846"</f>
        <v>0001283846</v>
      </c>
      <c r="D307" s="11" t="str">
        <f t="shared" si="16"/>
        <v>OpenGL programming guide(日本語版) : the official guide to learning OpenGL, release 1 / OpenGL Architecture Review Board [ほか] 著 ; システムソフトエンジニアリング訳.</v>
      </c>
      <c r="E307" s="11" t="str">
        <f>""</f>
        <v/>
      </c>
      <c r="F307" s="28" t="s">
        <v>8</v>
      </c>
      <c r="G307" s="29" t="str">
        <f t="shared" si="17"/>
        <v>007.63/ｵﾌﾟ</v>
      </c>
      <c r="H307" s="10" t="str">
        <f t="shared" si="19"/>
        <v>1997/01/29</v>
      </c>
      <c r="I307" s="12">
        <v>9900</v>
      </c>
      <c r="J307" s="12">
        <v>100</v>
      </c>
      <c r="K307" s="10" t="str">
        <f t="shared" si="15"/>
        <v>1  和書</v>
      </c>
      <c r="L307" s="13"/>
    </row>
    <row r="308" spans="1:12" ht="36" x14ac:dyDescent="0.15">
      <c r="A308" s="36">
        <v>307</v>
      </c>
      <c r="B308" s="3" t="s">
        <v>16</v>
      </c>
      <c r="C308" s="10" t="str">
        <f>"0001283853"</f>
        <v>0001283853</v>
      </c>
      <c r="D308" s="11" t="str">
        <f t="shared" si="16"/>
        <v>OpenGL programming guide(日本語版) : the official guide to learning OpenGL, release 1 / OpenGL Architecture Review Board [ほか] 著 ; システムソフトエンジニアリング訳.</v>
      </c>
      <c r="E308" s="11" t="str">
        <f>""</f>
        <v/>
      </c>
      <c r="F308" s="28" t="s">
        <v>8</v>
      </c>
      <c r="G308" s="29" t="str">
        <f t="shared" si="17"/>
        <v>007.63/ｵﾌﾟ</v>
      </c>
      <c r="H308" s="10" t="str">
        <f t="shared" si="19"/>
        <v>1997/01/29</v>
      </c>
      <c r="I308" s="12">
        <v>9900</v>
      </c>
      <c r="J308" s="12">
        <v>100</v>
      </c>
      <c r="K308" s="10" t="str">
        <f t="shared" si="15"/>
        <v>1  和書</v>
      </c>
      <c r="L308" s="13"/>
    </row>
    <row r="309" spans="1:12" ht="36" x14ac:dyDescent="0.15">
      <c r="A309" s="36">
        <v>308</v>
      </c>
      <c r="B309" s="3" t="s">
        <v>16</v>
      </c>
      <c r="C309" s="10" t="str">
        <f>"0001283860"</f>
        <v>0001283860</v>
      </c>
      <c r="D309" s="11" t="str">
        <f t="shared" si="16"/>
        <v>OpenGL programming guide(日本語版) : the official guide to learning OpenGL, release 1 / OpenGL Architecture Review Board [ほか] 著 ; システムソフトエンジニアリング訳.</v>
      </c>
      <c r="E309" s="11" t="str">
        <f>""</f>
        <v/>
      </c>
      <c r="F309" s="28" t="s">
        <v>8</v>
      </c>
      <c r="G309" s="29" t="str">
        <f t="shared" si="17"/>
        <v>007.63/ｵﾌﾟ</v>
      </c>
      <c r="H309" s="10" t="str">
        <f t="shared" si="19"/>
        <v>1997/01/29</v>
      </c>
      <c r="I309" s="12">
        <v>9900</v>
      </c>
      <c r="J309" s="12">
        <v>100</v>
      </c>
      <c r="K309" s="10" t="str">
        <f t="shared" si="15"/>
        <v>1  和書</v>
      </c>
      <c r="L309" s="13"/>
    </row>
    <row r="310" spans="1:12" ht="36" x14ac:dyDescent="0.15">
      <c r="A310" s="36">
        <v>309</v>
      </c>
      <c r="B310" s="3" t="s">
        <v>16</v>
      </c>
      <c r="C310" s="10" t="str">
        <f>"0001283877"</f>
        <v>0001283877</v>
      </c>
      <c r="D310" s="11" t="str">
        <f t="shared" si="16"/>
        <v>OpenGL programming guide(日本語版) : the official guide to learning OpenGL, release 1 / OpenGL Architecture Review Board [ほか] 著 ; システムソフトエンジニアリング訳.</v>
      </c>
      <c r="E310" s="11" t="str">
        <f>""</f>
        <v/>
      </c>
      <c r="F310" s="28" t="s">
        <v>8</v>
      </c>
      <c r="G310" s="29" t="str">
        <f t="shared" si="17"/>
        <v>007.63/ｵﾌﾟ</v>
      </c>
      <c r="H310" s="10" t="str">
        <f t="shared" si="19"/>
        <v>1997/01/29</v>
      </c>
      <c r="I310" s="12">
        <v>9900</v>
      </c>
      <c r="J310" s="12">
        <v>100</v>
      </c>
      <c r="K310" s="10" t="str">
        <f t="shared" si="15"/>
        <v>1  和書</v>
      </c>
      <c r="L310" s="13"/>
    </row>
    <row r="311" spans="1:12" ht="36" x14ac:dyDescent="0.15">
      <c r="A311" s="36">
        <v>310</v>
      </c>
      <c r="B311" s="3" t="s">
        <v>16</v>
      </c>
      <c r="C311" s="10" t="str">
        <f>"0001283884"</f>
        <v>0001283884</v>
      </c>
      <c r="D311" s="11" t="str">
        <f t="shared" si="16"/>
        <v>OpenGL programming guide(日本語版) : the official guide to learning OpenGL, release 1 / OpenGL Architecture Review Board [ほか] 著 ; システムソフトエンジニアリング訳.</v>
      </c>
      <c r="E311" s="11" t="str">
        <f>""</f>
        <v/>
      </c>
      <c r="F311" s="28" t="s">
        <v>8</v>
      </c>
      <c r="G311" s="29" t="str">
        <f t="shared" si="17"/>
        <v>007.63/ｵﾌﾟ</v>
      </c>
      <c r="H311" s="10" t="str">
        <f t="shared" si="19"/>
        <v>1997/01/29</v>
      </c>
      <c r="I311" s="12">
        <v>9900</v>
      </c>
      <c r="J311" s="12">
        <v>100</v>
      </c>
      <c r="K311" s="10" t="str">
        <f t="shared" si="15"/>
        <v>1  和書</v>
      </c>
      <c r="L311" s="13"/>
    </row>
    <row r="312" spans="1:12" ht="36" x14ac:dyDescent="0.15">
      <c r="A312" s="36">
        <v>311</v>
      </c>
      <c r="B312" s="3" t="s">
        <v>16</v>
      </c>
      <c r="C312" s="10" t="str">
        <f>"0001283891"</f>
        <v>0001283891</v>
      </c>
      <c r="D312" s="11" t="str">
        <f t="shared" si="16"/>
        <v>OpenGL programming guide(日本語版) : the official guide to learning OpenGL, release 1 / OpenGL Architecture Review Board [ほか] 著 ; システムソフトエンジニアリング訳.</v>
      </c>
      <c r="E312" s="11" t="str">
        <f>""</f>
        <v/>
      </c>
      <c r="F312" s="28" t="s">
        <v>8</v>
      </c>
      <c r="G312" s="29" t="str">
        <f t="shared" si="17"/>
        <v>007.63/ｵﾌﾟ</v>
      </c>
      <c r="H312" s="10" t="str">
        <f t="shared" si="19"/>
        <v>1997/01/29</v>
      </c>
      <c r="I312" s="12">
        <v>9900</v>
      </c>
      <c r="J312" s="12">
        <v>100</v>
      </c>
      <c r="K312" s="10" t="str">
        <f t="shared" si="15"/>
        <v>1  和書</v>
      </c>
      <c r="L312" s="13"/>
    </row>
    <row r="313" spans="1:12" ht="36" x14ac:dyDescent="0.15">
      <c r="A313" s="36">
        <v>312</v>
      </c>
      <c r="B313" s="3" t="s">
        <v>16</v>
      </c>
      <c r="C313" s="10" t="str">
        <f>"0001283907"</f>
        <v>0001283907</v>
      </c>
      <c r="D313" s="11" t="str">
        <f t="shared" si="16"/>
        <v>OpenGL programming guide(日本語版) : the official guide to learning OpenGL, release 1 / OpenGL Architecture Review Board [ほか] 著 ; システムソフトエンジニアリング訳.</v>
      </c>
      <c r="E313" s="11" t="str">
        <f>""</f>
        <v/>
      </c>
      <c r="F313" s="28" t="s">
        <v>8</v>
      </c>
      <c r="G313" s="29" t="str">
        <f t="shared" si="17"/>
        <v>007.63/ｵﾌﾟ</v>
      </c>
      <c r="H313" s="10" t="str">
        <f t="shared" si="19"/>
        <v>1997/01/29</v>
      </c>
      <c r="I313" s="12">
        <v>9900</v>
      </c>
      <c r="J313" s="12">
        <v>100</v>
      </c>
      <c r="K313" s="10" t="str">
        <f t="shared" si="15"/>
        <v>1  和書</v>
      </c>
      <c r="L313" s="13"/>
    </row>
    <row r="314" spans="1:12" ht="36" x14ac:dyDescent="0.15">
      <c r="A314" s="36">
        <v>313</v>
      </c>
      <c r="B314" s="3" t="s">
        <v>16</v>
      </c>
      <c r="C314" s="10" t="str">
        <f>"0001283914"</f>
        <v>0001283914</v>
      </c>
      <c r="D314" s="11" t="str">
        <f t="shared" si="16"/>
        <v>OpenGL programming guide(日本語版) : the official guide to learning OpenGL, release 1 / OpenGL Architecture Review Board [ほか] 著 ; システムソフトエンジニアリング訳.</v>
      </c>
      <c r="E314" s="11" t="str">
        <f>""</f>
        <v/>
      </c>
      <c r="F314" s="28" t="s">
        <v>8</v>
      </c>
      <c r="G314" s="29" t="str">
        <f t="shared" si="17"/>
        <v>007.63/ｵﾌﾟ</v>
      </c>
      <c r="H314" s="10" t="str">
        <f t="shared" si="19"/>
        <v>1997/01/29</v>
      </c>
      <c r="I314" s="12">
        <v>9900</v>
      </c>
      <c r="J314" s="12">
        <v>100</v>
      </c>
      <c r="K314" s="10" t="str">
        <f t="shared" si="15"/>
        <v>1  和書</v>
      </c>
      <c r="L314" s="13"/>
    </row>
    <row r="315" spans="1:12" ht="36" x14ac:dyDescent="0.15">
      <c r="A315" s="36">
        <v>314</v>
      </c>
      <c r="B315" s="3" t="s">
        <v>16</v>
      </c>
      <c r="C315" s="10" t="str">
        <f>"0001283945"</f>
        <v>0001283945</v>
      </c>
      <c r="D315" s="11" t="str">
        <f t="shared" si="16"/>
        <v>OpenGL programming guide(日本語版) : the official guide to learning OpenGL, release 1 / OpenGL Architecture Review Board [ほか] 著 ; システムソフトエンジニアリング訳.</v>
      </c>
      <c r="E315" s="11" t="str">
        <f>""</f>
        <v/>
      </c>
      <c r="F315" s="28" t="s">
        <v>8</v>
      </c>
      <c r="G315" s="29" t="str">
        <f t="shared" si="17"/>
        <v>007.63/ｵﾌﾟ</v>
      </c>
      <c r="H315" s="10" t="str">
        <f t="shared" si="19"/>
        <v>1997/01/29</v>
      </c>
      <c r="I315" s="12">
        <v>9900</v>
      </c>
      <c r="J315" s="12">
        <v>100</v>
      </c>
      <c r="K315" s="10" t="str">
        <f t="shared" si="15"/>
        <v>1  和書</v>
      </c>
      <c r="L315" s="13"/>
    </row>
    <row r="316" spans="1:12" ht="36" x14ac:dyDescent="0.15">
      <c r="A316" s="36">
        <v>315</v>
      </c>
      <c r="B316" s="3" t="s">
        <v>16</v>
      </c>
      <c r="C316" s="10" t="str">
        <f>"0001283952"</f>
        <v>0001283952</v>
      </c>
      <c r="D316" s="11" t="str">
        <f t="shared" si="16"/>
        <v>OpenGL programming guide(日本語版) : the official guide to learning OpenGL, release 1 / OpenGL Architecture Review Board [ほか] 著 ; システムソフトエンジニアリング訳.</v>
      </c>
      <c r="E316" s="11" t="str">
        <f>""</f>
        <v/>
      </c>
      <c r="F316" s="28" t="s">
        <v>8</v>
      </c>
      <c r="G316" s="29" t="str">
        <f t="shared" si="17"/>
        <v>007.63/ｵﾌﾟ</v>
      </c>
      <c r="H316" s="10" t="str">
        <f t="shared" si="19"/>
        <v>1997/01/29</v>
      </c>
      <c r="I316" s="12">
        <v>9900</v>
      </c>
      <c r="J316" s="12">
        <v>100</v>
      </c>
      <c r="K316" s="10" t="str">
        <f t="shared" si="15"/>
        <v>1  和書</v>
      </c>
      <c r="L316" s="13"/>
    </row>
    <row r="317" spans="1:12" ht="24" x14ac:dyDescent="0.15">
      <c r="A317" s="36">
        <v>316</v>
      </c>
      <c r="B317" s="3" t="s">
        <v>16</v>
      </c>
      <c r="C317" s="10" t="str">
        <f>"0001283969"</f>
        <v>0001283969</v>
      </c>
      <c r="D317" s="11" t="str">
        <f t="shared" ref="D317:D345" si="20">"OpenGL reference manual(日本語版) : the official reference document for OpenGL, release 1 / OpenGL Architecture Review Board著."</f>
        <v>OpenGL reference manual(日本語版) : the official reference document for OpenGL, release 1 / OpenGL Architecture Review Board著.</v>
      </c>
      <c r="E317" s="11" t="str">
        <f>""</f>
        <v/>
      </c>
      <c r="F317" s="28" t="s">
        <v>8</v>
      </c>
      <c r="G317" s="29" t="str">
        <f t="shared" si="17"/>
        <v>007.63/ｵﾌﾟ</v>
      </c>
      <c r="H317" s="10" t="str">
        <f t="shared" si="19"/>
        <v>1997/01/29</v>
      </c>
      <c r="I317" s="12">
        <v>7650</v>
      </c>
      <c r="J317" s="12">
        <v>100</v>
      </c>
      <c r="K317" s="10" t="str">
        <f t="shared" si="15"/>
        <v>1  和書</v>
      </c>
      <c r="L317" s="13"/>
    </row>
    <row r="318" spans="1:12" ht="24" x14ac:dyDescent="0.15">
      <c r="A318" s="36">
        <v>317</v>
      </c>
      <c r="B318" s="3" t="s">
        <v>16</v>
      </c>
      <c r="C318" s="10" t="str">
        <f>"0001283976"</f>
        <v>0001283976</v>
      </c>
      <c r="D318" s="11" t="str">
        <f t="shared" si="20"/>
        <v>OpenGL reference manual(日本語版) : the official reference document for OpenGL, release 1 / OpenGL Architecture Review Board著.</v>
      </c>
      <c r="E318" s="11" t="str">
        <f>""</f>
        <v/>
      </c>
      <c r="F318" s="28" t="s">
        <v>8</v>
      </c>
      <c r="G318" s="29" t="str">
        <f t="shared" si="17"/>
        <v>007.63/ｵﾌﾟ</v>
      </c>
      <c r="H318" s="10" t="str">
        <f t="shared" si="19"/>
        <v>1997/01/29</v>
      </c>
      <c r="I318" s="12">
        <v>7650</v>
      </c>
      <c r="J318" s="12">
        <v>100</v>
      </c>
      <c r="K318" s="10" t="str">
        <f t="shared" si="15"/>
        <v>1  和書</v>
      </c>
      <c r="L318" s="13"/>
    </row>
    <row r="319" spans="1:12" ht="24" x14ac:dyDescent="0.15">
      <c r="A319" s="36">
        <v>318</v>
      </c>
      <c r="B319" s="3" t="s">
        <v>16</v>
      </c>
      <c r="C319" s="10" t="str">
        <f>"0001283983"</f>
        <v>0001283983</v>
      </c>
      <c r="D319" s="11" t="str">
        <f t="shared" si="20"/>
        <v>OpenGL reference manual(日本語版) : the official reference document for OpenGL, release 1 / OpenGL Architecture Review Board著.</v>
      </c>
      <c r="E319" s="11" t="str">
        <f>""</f>
        <v/>
      </c>
      <c r="F319" s="28" t="s">
        <v>8</v>
      </c>
      <c r="G319" s="29" t="str">
        <f t="shared" si="17"/>
        <v>007.63/ｵﾌﾟ</v>
      </c>
      <c r="H319" s="10" t="str">
        <f t="shared" si="19"/>
        <v>1997/01/29</v>
      </c>
      <c r="I319" s="12">
        <v>7650</v>
      </c>
      <c r="J319" s="12">
        <v>100</v>
      </c>
      <c r="K319" s="10" t="str">
        <f t="shared" si="15"/>
        <v>1  和書</v>
      </c>
      <c r="L319" s="13"/>
    </row>
    <row r="320" spans="1:12" ht="24" x14ac:dyDescent="0.15">
      <c r="A320" s="36">
        <v>319</v>
      </c>
      <c r="B320" s="3" t="s">
        <v>16</v>
      </c>
      <c r="C320" s="10" t="str">
        <f>"0001283990"</f>
        <v>0001283990</v>
      </c>
      <c r="D320" s="11" t="str">
        <f t="shared" si="20"/>
        <v>OpenGL reference manual(日本語版) : the official reference document for OpenGL, release 1 / OpenGL Architecture Review Board著.</v>
      </c>
      <c r="E320" s="11" t="str">
        <f>""</f>
        <v/>
      </c>
      <c r="F320" s="28" t="s">
        <v>8</v>
      </c>
      <c r="G320" s="29" t="str">
        <f t="shared" si="17"/>
        <v>007.63/ｵﾌﾟ</v>
      </c>
      <c r="H320" s="10" t="str">
        <f t="shared" si="19"/>
        <v>1997/01/29</v>
      </c>
      <c r="I320" s="12">
        <v>7650</v>
      </c>
      <c r="J320" s="12">
        <v>100</v>
      </c>
      <c r="K320" s="10" t="str">
        <f t="shared" si="15"/>
        <v>1  和書</v>
      </c>
      <c r="L320" s="13"/>
    </row>
    <row r="321" spans="1:12" ht="24" x14ac:dyDescent="0.15">
      <c r="A321" s="36">
        <v>320</v>
      </c>
      <c r="B321" s="3" t="s">
        <v>16</v>
      </c>
      <c r="C321" s="10" t="str">
        <f>"0001284003"</f>
        <v>0001284003</v>
      </c>
      <c r="D321" s="11" t="str">
        <f t="shared" si="20"/>
        <v>OpenGL reference manual(日本語版) : the official reference document for OpenGL, release 1 / OpenGL Architecture Review Board著.</v>
      </c>
      <c r="E321" s="11" t="str">
        <f>""</f>
        <v/>
      </c>
      <c r="F321" s="28" t="s">
        <v>8</v>
      </c>
      <c r="G321" s="29" t="str">
        <f t="shared" si="17"/>
        <v>007.63/ｵﾌﾟ</v>
      </c>
      <c r="H321" s="10" t="str">
        <f t="shared" si="19"/>
        <v>1997/01/29</v>
      </c>
      <c r="I321" s="12">
        <v>7650</v>
      </c>
      <c r="J321" s="12">
        <v>100</v>
      </c>
      <c r="K321" s="10" t="str">
        <f t="shared" si="15"/>
        <v>1  和書</v>
      </c>
      <c r="L321" s="13"/>
    </row>
    <row r="322" spans="1:12" ht="24" x14ac:dyDescent="0.15">
      <c r="A322" s="36">
        <v>321</v>
      </c>
      <c r="B322" s="3" t="s">
        <v>16</v>
      </c>
      <c r="C322" s="10" t="str">
        <f>"0001284010"</f>
        <v>0001284010</v>
      </c>
      <c r="D322" s="11" t="str">
        <f t="shared" si="20"/>
        <v>OpenGL reference manual(日本語版) : the official reference document for OpenGL, release 1 / OpenGL Architecture Review Board著.</v>
      </c>
      <c r="E322" s="11" t="str">
        <f>""</f>
        <v/>
      </c>
      <c r="F322" s="28" t="s">
        <v>8</v>
      </c>
      <c r="G322" s="29" t="str">
        <f t="shared" si="17"/>
        <v>007.63/ｵﾌﾟ</v>
      </c>
      <c r="H322" s="10" t="str">
        <f t="shared" si="19"/>
        <v>1997/01/29</v>
      </c>
      <c r="I322" s="12">
        <v>7650</v>
      </c>
      <c r="J322" s="12">
        <v>100</v>
      </c>
      <c r="K322" s="10" t="str">
        <f t="shared" si="15"/>
        <v>1  和書</v>
      </c>
      <c r="L322" s="13"/>
    </row>
    <row r="323" spans="1:12" ht="24" x14ac:dyDescent="0.15">
      <c r="A323" s="36">
        <v>322</v>
      </c>
      <c r="B323" s="3" t="s">
        <v>16</v>
      </c>
      <c r="C323" s="10" t="str">
        <f>"0001284027"</f>
        <v>0001284027</v>
      </c>
      <c r="D323" s="11" t="str">
        <f t="shared" si="20"/>
        <v>OpenGL reference manual(日本語版) : the official reference document for OpenGL, release 1 / OpenGL Architecture Review Board著.</v>
      </c>
      <c r="E323" s="11" t="str">
        <f>""</f>
        <v/>
      </c>
      <c r="F323" s="28" t="s">
        <v>8</v>
      </c>
      <c r="G323" s="29" t="str">
        <f t="shared" si="17"/>
        <v>007.63/ｵﾌﾟ</v>
      </c>
      <c r="H323" s="10" t="str">
        <f t="shared" si="19"/>
        <v>1997/01/29</v>
      </c>
      <c r="I323" s="12">
        <v>7650</v>
      </c>
      <c r="J323" s="12">
        <v>100</v>
      </c>
      <c r="K323" s="10" t="str">
        <f t="shared" ref="K323:K357" si="21">"1  和書"</f>
        <v>1  和書</v>
      </c>
      <c r="L323" s="13"/>
    </row>
    <row r="324" spans="1:12" ht="24" x14ac:dyDescent="0.15">
      <c r="A324" s="36">
        <v>323</v>
      </c>
      <c r="B324" s="3" t="s">
        <v>16</v>
      </c>
      <c r="C324" s="10" t="str">
        <f>"0001284034"</f>
        <v>0001284034</v>
      </c>
      <c r="D324" s="11" t="str">
        <f t="shared" si="20"/>
        <v>OpenGL reference manual(日本語版) : the official reference document for OpenGL, release 1 / OpenGL Architecture Review Board著.</v>
      </c>
      <c r="E324" s="11" t="str">
        <f>""</f>
        <v/>
      </c>
      <c r="F324" s="28" t="s">
        <v>8</v>
      </c>
      <c r="G324" s="29" t="str">
        <f t="shared" ref="G324:G345" si="22">"007.63/ｵﾌﾟ"</f>
        <v>007.63/ｵﾌﾟ</v>
      </c>
      <c r="H324" s="10" t="str">
        <f t="shared" si="19"/>
        <v>1997/01/29</v>
      </c>
      <c r="I324" s="12">
        <v>7650</v>
      </c>
      <c r="J324" s="12">
        <v>100</v>
      </c>
      <c r="K324" s="10" t="str">
        <f t="shared" si="21"/>
        <v>1  和書</v>
      </c>
      <c r="L324" s="13"/>
    </row>
    <row r="325" spans="1:12" ht="24" x14ac:dyDescent="0.15">
      <c r="A325" s="36">
        <v>324</v>
      </c>
      <c r="B325" s="3" t="s">
        <v>16</v>
      </c>
      <c r="C325" s="10" t="str">
        <f>"0001284041"</f>
        <v>0001284041</v>
      </c>
      <c r="D325" s="11" t="str">
        <f t="shared" si="20"/>
        <v>OpenGL reference manual(日本語版) : the official reference document for OpenGL, release 1 / OpenGL Architecture Review Board著.</v>
      </c>
      <c r="E325" s="11" t="str">
        <f>""</f>
        <v/>
      </c>
      <c r="F325" s="28" t="s">
        <v>8</v>
      </c>
      <c r="G325" s="29" t="str">
        <f t="shared" si="22"/>
        <v>007.63/ｵﾌﾟ</v>
      </c>
      <c r="H325" s="10" t="str">
        <f t="shared" si="19"/>
        <v>1997/01/29</v>
      </c>
      <c r="I325" s="12">
        <v>7650</v>
      </c>
      <c r="J325" s="12">
        <v>100</v>
      </c>
      <c r="K325" s="10" t="str">
        <f t="shared" si="21"/>
        <v>1  和書</v>
      </c>
      <c r="L325" s="13"/>
    </row>
    <row r="326" spans="1:12" ht="24" x14ac:dyDescent="0.15">
      <c r="A326" s="36">
        <v>325</v>
      </c>
      <c r="B326" s="3" t="s">
        <v>16</v>
      </c>
      <c r="C326" s="10" t="str">
        <f>"0001284058"</f>
        <v>0001284058</v>
      </c>
      <c r="D326" s="11" t="str">
        <f t="shared" si="20"/>
        <v>OpenGL reference manual(日本語版) : the official reference document for OpenGL, release 1 / OpenGL Architecture Review Board著.</v>
      </c>
      <c r="E326" s="11" t="str">
        <f>""</f>
        <v/>
      </c>
      <c r="F326" s="28" t="s">
        <v>8</v>
      </c>
      <c r="G326" s="29" t="str">
        <f t="shared" si="22"/>
        <v>007.63/ｵﾌﾟ</v>
      </c>
      <c r="H326" s="10" t="str">
        <f t="shared" si="19"/>
        <v>1997/01/29</v>
      </c>
      <c r="I326" s="12">
        <v>7650</v>
      </c>
      <c r="J326" s="12">
        <v>100</v>
      </c>
      <c r="K326" s="10" t="str">
        <f t="shared" si="21"/>
        <v>1  和書</v>
      </c>
      <c r="L326" s="13"/>
    </row>
    <row r="327" spans="1:12" ht="24" x14ac:dyDescent="0.15">
      <c r="A327" s="36">
        <v>326</v>
      </c>
      <c r="B327" s="3" t="s">
        <v>16</v>
      </c>
      <c r="C327" s="10" t="str">
        <f>"0001284065"</f>
        <v>0001284065</v>
      </c>
      <c r="D327" s="11" t="str">
        <f t="shared" si="20"/>
        <v>OpenGL reference manual(日本語版) : the official reference document for OpenGL, release 1 / OpenGL Architecture Review Board著.</v>
      </c>
      <c r="E327" s="11" t="str">
        <f>""</f>
        <v/>
      </c>
      <c r="F327" s="28" t="s">
        <v>8</v>
      </c>
      <c r="G327" s="29" t="str">
        <f t="shared" si="22"/>
        <v>007.63/ｵﾌﾟ</v>
      </c>
      <c r="H327" s="10" t="str">
        <f t="shared" si="19"/>
        <v>1997/01/29</v>
      </c>
      <c r="I327" s="12">
        <v>7650</v>
      </c>
      <c r="J327" s="12">
        <v>100</v>
      </c>
      <c r="K327" s="10" t="str">
        <f t="shared" si="21"/>
        <v>1  和書</v>
      </c>
      <c r="L327" s="13"/>
    </row>
    <row r="328" spans="1:12" ht="24" x14ac:dyDescent="0.15">
      <c r="A328" s="36">
        <v>327</v>
      </c>
      <c r="B328" s="3" t="s">
        <v>16</v>
      </c>
      <c r="C328" s="10" t="str">
        <f>"0001284072"</f>
        <v>0001284072</v>
      </c>
      <c r="D328" s="11" t="str">
        <f t="shared" si="20"/>
        <v>OpenGL reference manual(日本語版) : the official reference document for OpenGL, release 1 / OpenGL Architecture Review Board著.</v>
      </c>
      <c r="E328" s="11" t="str">
        <f>""</f>
        <v/>
      </c>
      <c r="F328" s="28" t="s">
        <v>8</v>
      </c>
      <c r="G328" s="29" t="str">
        <f t="shared" si="22"/>
        <v>007.63/ｵﾌﾟ</v>
      </c>
      <c r="H328" s="10" t="str">
        <f t="shared" si="19"/>
        <v>1997/01/29</v>
      </c>
      <c r="I328" s="12">
        <v>7650</v>
      </c>
      <c r="J328" s="12">
        <v>100</v>
      </c>
      <c r="K328" s="10" t="str">
        <f t="shared" si="21"/>
        <v>1  和書</v>
      </c>
      <c r="L328" s="13"/>
    </row>
    <row r="329" spans="1:12" ht="24" x14ac:dyDescent="0.15">
      <c r="A329" s="36">
        <v>328</v>
      </c>
      <c r="B329" s="3" t="s">
        <v>16</v>
      </c>
      <c r="C329" s="10" t="str">
        <f>"0001284089"</f>
        <v>0001284089</v>
      </c>
      <c r="D329" s="11" t="str">
        <f t="shared" si="20"/>
        <v>OpenGL reference manual(日本語版) : the official reference document for OpenGL, release 1 / OpenGL Architecture Review Board著.</v>
      </c>
      <c r="E329" s="11" t="str">
        <f>""</f>
        <v/>
      </c>
      <c r="F329" s="28" t="s">
        <v>8</v>
      </c>
      <c r="G329" s="29" t="str">
        <f t="shared" si="22"/>
        <v>007.63/ｵﾌﾟ</v>
      </c>
      <c r="H329" s="10" t="str">
        <f t="shared" si="19"/>
        <v>1997/01/29</v>
      </c>
      <c r="I329" s="12">
        <v>7650</v>
      </c>
      <c r="J329" s="12">
        <v>100</v>
      </c>
      <c r="K329" s="10" t="str">
        <f t="shared" si="21"/>
        <v>1  和書</v>
      </c>
      <c r="L329" s="13"/>
    </row>
    <row r="330" spans="1:12" ht="24" x14ac:dyDescent="0.15">
      <c r="A330" s="36">
        <v>329</v>
      </c>
      <c r="B330" s="3" t="s">
        <v>16</v>
      </c>
      <c r="C330" s="10" t="str">
        <f>"0001284096"</f>
        <v>0001284096</v>
      </c>
      <c r="D330" s="11" t="str">
        <f t="shared" si="20"/>
        <v>OpenGL reference manual(日本語版) : the official reference document for OpenGL, release 1 / OpenGL Architecture Review Board著.</v>
      </c>
      <c r="E330" s="11" t="str">
        <f>""</f>
        <v/>
      </c>
      <c r="F330" s="28" t="s">
        <v>8</v>
      </c>
      <c r="G330" s="29" t="str">
        <f t="shared" si="22"/>
        <v>007.63/ｵﾌﾟ</v>
      </c>
      <c r="H330" s="10" t="str">
        <f t="shared" si="19"/>
        <v>1997/01/29</v>
      </c>
      <c r="I330" s="12">
        <v>7650</v>
      </c>
      <c r="J330" s="12">
        <v>100</v>
      </c>
      <c r="K330" s="10" t="str">
        <f t="shared" si="21"/>
        <v>1  和書</v>
      </c>
      <c r="L330" s="13"/>
    </row>
    <row r="331" spans="1:12" ht="24" x14ac:dyDescent="0.15">
      <c r="A331" s="36">
        <v>330</v>
      </c>
      <c r="B331" s="3" t="s">
        <v>16</v>
      </c>
      <c r="C331" s="10" t="str">
        <f>"0001284102"</f>
        <v>0001284102</v>
      </c>
      <c r="D331" s="11" t="str">
        <f t="shared" si="20"/>
        <v>OpenGL reference manual(日本語版) : the official reference document for OpenGL, release 1 / OpenGL Architecture Review Board著.</v>
      </c>
      <c r="E331" s="11" t="str">
        <f>""</f>
        <v/>
      </c>
      <c r="F331" s="28" t="s">
        <v>8</v>
      </c>
      <c r="G331" s="29" t="str">
        <f t="shared" si="22"/>
        <v>007.63/ｵﾌﾟ</v>
      </c>
      <c r="H331" s="10" t="str">
        <f t="shared" si="19"/>
        <v>1997/01/29</v>
      </c>
      <c r="I331" s="12">
        <v>7650</v>
      </c>
      <c r="J331" s="12">
        <v>100</v>
      </c>
      <c r="K331" s="10" t="str">
        <f t="shared" si="21"/>
        <v>1  和書</v>
      </c>
      <c r="L331" s="13"/>
    </row>
    <row r="332" spans="1:12" ht="24" x14ac:dyDescent="0.15">
      <c r="A332" s="36">
        <v>331</v>
      </c>
      <c r="B332" s="3" t="s">
        <v>16</v>
      </c>
      <c r="C332" s="10" t="str">
        <f>"0001284119"</f>
        <v>0001284119</v>
      </c>
      <c r="D332" s="11" t="str">
        <f t="shared" si="20"/>
        <v>OpenGL reference manual(日本語版) : the official reference document for OpenGL, release 1 / OpenGL Architecture Review Board著.</v>
      </c>
      <c r="E332" s="11" t="str">
        <f>""</f>
        <v/>
      </c>
      <c r="F332" s="28" t="s">
        <v>8</v>
      </c>
      <c r="G332" s="29" t="str">
        <f t="shared" si="22"/>
        <v>007.63/ｵﾌﾟ</v>
      </c>
      <c r="H332" s="10" t="str">
        <f t="shared" si="19"/>
        <v>1997/01/29</v>
      </c>
      <c r="I332" s="12">
        <v>7650</v>
      </c>
      <c r="J332" s="12">
        <v>100</v>
      </c>
      <c r="K332" s="10" t="str">
        <f t="shared" si="21"/>
        <v>1  和書</v>
      </c>
      <c r="L332" s="13"/>
    </row>
    <row r="333" spans="1:12" ht="24" x14ac:dyDescent="0.15">
      <c r="A333" s="36">
        <v>332</v>
      </c>
      <c r="B333" s="3" t="s">
        <v>16</v>
      </c>
      <c r="C333" s="10" t="str">
        <f>"0001284126"</f>
        <v>0001284126</v>
      </c>
      <c r="D333" s="11" t="str">
        <f t="shared" si="20"/>
        <v>OpenGL reference manual(日本語版) : the official reference document for OpenGL, release 1 / OpenGL Architecture Review Board著.</v>
      </c>
      <c r="E333" s="11" t="str">
        <f>""</f>
        <v/>
      </c>
      <c r="F333" s="28" t="s">
        <v>8</v>
      </c>
      <c r="G333" s="29" t="str">
        <f t="shared" si="22"/>
        <v>007.63/ｵﾌﾟ</v>
      </c>
      <c r="H333" s="10" t="str">
        <f t="shared" si="19"/>
        <v>1997/01/29</v>
      </c>
      <c r="I333" s="12">
        <v>7650</v>
      </c>
      <c r="J333" s="12">
        <v>100</v>
      </c>
      <c r="K333" s="10" t="str">
        <f t="shared" si="21"/>
        <v>1  和書</v>
      </c>
      <c r="L333" s="13"/>
    </row>
    <row r="334" spans="1:12" ht="24" x14ac:dyDescent="0.15">
      <c r="A334" s="36">
        <v>333</v>
      </c>
      <c r="B334" s="3" t="s">
        <v>16</v>
      </c>
      <c r="C334" s="10" t="str">
        <f>"0001284133"</f>
        <v>0001284133</v>
      </c>
      <c r="D334" s="11" t="str">
        <f t="shared" si="20"/>
        <v>OpenGL reference manual(日本語版) : the official reference document for OpenGL, release 1 / OpenGL Architecture Review Board著.</v>
      </c>
      <c r="E334" s="11" t="str">
        <f>""</f>
        <v/>
      </c>
      <c r="F334" s="28" t="s">
        <v>8</v>
      </c>
      <c r="G334" s="29" t="str">
        <f t="shared" si="22"/>
        <v>007.63/ｵﾌﾟ</v>
      </c>
      <c r="H334" s="10" t="str">
        <f t="shared" si="19"/>
        <v>1997/01/29</v>
      </c>
      <c r="I334" s="12">
        <v>7650</v>
      </c>
      <c r="J334" s="12">
        <v>100</v>
      </c>
      <c r="K334" s="10" t="str">
        <f t="shared" si="21"/>
        <v>1  和書</v>
      </c>
      <c r="L334" s="13"/>
    </row>
    <row r="335" spans="1:12" ht="24" x14ac:dyDescent="0.15">
      <c r="A335" s="36">
        <v>334</v>
      </c>
      <c r="B335" s="3" t="s">
        <v>16</v>
      </c>
      <c r="C335" s="10" t="str">
        <f>"0001284140"</f>
        <v>0001284140</v>
      </c>
      <c r="D335" s="11" t="str">
        <f t="shared" si="20"/>
        <v>OpenGL reference manual(日本語版) : the official reference document for OpenGL, release 1 / OpenGL Architecture Review Board著.</v>
      </c>
      <c r="E335" s="11" t="str">
        <f>""</f>
        <v/>
      </c>
      <c r="F335" s="28" t="s">
        <v>8</v>
      </c>
      <c r="G335" s="29" t="str">
        <f t="shared" si="22"/>
        <v>007.63/ｵﾌﾟ</v>
      </c>
      <c r="H335" s="10" t="str">
        <f t="shared" si="19"/>
        <v>1997/01/29</v>
      </c>
      <c r="I335" s="12">
        <v>7650</v>
      </c>
      <c r="J335" s="12">
        <v>100</v>
      </c>
      <c r="K335" s="10" t="str">
        <f t="shared" si="21"/>
        <v>1  和書</v>
      </c>
      <c r="L335" s="13"/>
    </row>
    <row r="336" spans="1:12" ht="24" x14ac:dyDescent="0.15">
      <c r="A336" s="36">
        <v>335</v>
      </c>
      <c r="B336" s="3" t="s">
        <v>16</v>
      </c>
      <c r="C336" s="10" t="str">
        <f>"0001284157"</f>
        <v>0001284157</v>
      </c>
      <c r="D336" s="11" t="str">
        <f t="shared" si="20"/>
        <v>OpenGL reference manual(日本語版) : the official reference document for OpenGL, release 1 / OpenGL Architecture Review Board著.</v>
      </c>
      <c r="E336" s="11" t="str">
        <f>""</f>
        <v/>
      </c>
      <c r="F336" s="28" t="s">
        <v>8</v>
      </c>
      <c r="G336" s="29" t="str">
        <f t="shared" si="22"/>
        <v>007.63/ｵﾌﾟ</v>
      </c>
      <c r="H336" s="10" t="str">
        <f t="shared" si="19"/>
        <v>1997/01/29</v>
      </c>
      <c r="I336" s="12">
        <v>7650</v>
      </c>
      <c r="J336" s="12">
        <v>100</v>
      </c>
      <c r="K336" s="10" t="str">
        <f t="shared" si="21"/>
        <v>1  和書</v>
      </c>
      <c r="L336" s="13"/>
    </row>
    <row r="337" spans="1:12" ht="24" x14ac:dyDescent="0.15">
      <c r="A337" s="36">
        <v>336</v>
      </c>
      <c r="B337" s="3" t="s">
        <v>16</v>
      </c>
      <c r="C337" s="10" t="str">
        <f>"0001284164"</f>
        <v>0001284164</v>
      </c>
      <c r="D337" s="11" t="str">
        <f t="shared" si="20"/>
        <v>OpenGL reference manual(日本語版) : the official reference document for OpenGL, release 1 / OpenGL Architecture Review Board著.</v>
      </c>
      <c r="E337" s="11" t="str">
        <f>""</f>
        <v/>
      </c>
      <c r="F337" s="28" t="s">
        <v>8</v>
      </c>
      <c r="G337" s="29" t="str">
        <f t="shared" si="22"/>
        <v>007.63/ｵﾌﾟ</v>
      </c>
      <c r="H337" s="10" t="str">
        <f t="shared" si="19"/>
        <v>1997/01/29</v>
      </c>
      <c r="I337" s="12">
        <v>7650</v>
      </c>
      <c r="J337" s="12">
        <v>100</v>
      </c>
      <c r="K337" s="10" t="str">
        <f t="shared" si="21"/>
        <v>1  和書</v>
      </c>
      <c r="L337" s="13"/>
    </row>
    <row r="338" spans="1:12" ht="24" x14ac:dyDescent="0.15">
      <c r="A338" s="36">
        <v>337</v>
      </c>
      <c r="B338" s="3" t="s">
        <v>16</v>
      </c>
      <c r="C338" s="10" t="str">
        <f>"0001284171"</f>
        <v>0001284171</v>
      </c>
      <c r="D338" s="11" t="str">
        <f t="shared" si="20"/>
        <v>OpenGL reference manual(日本語版) : the official reference document for OpenGL, release 1 / OpenGL Architecture Review Board著.</v>
      </c>
      <c r="E338" s="11" t="str">
        <f>""</f>
        <v/>
      </c>
      <c r="F338" s="28" t="s">
        <v>8</v>
      </c>
      <c r="G338" s="29" t="str">
        <f t="shared" si="22"/>
        <v>007.63/ｵﾌﾟ</v>
      </c>
      <c r="H338" s="10" t="str">
        <f t="shared" si="19"/>
        <v>1997/01/29</v>
      </c>
      <c r="I338" s="12">
        <v>7650</v>
      </c>
      <c r="J338" s="12">
        <v>100</v>
      </c>
      <c r="K338" s="10" t="str">
        <f t="shared" si="21"/>
        <v>1  和書</v>
      </c>
      <c r="L338" s="13"/>
    </row>
    <row r="339" spans="1:12" ht="24" x14ac:dyDescent="0.15">
      <c r="A339" s="36">
        <v>338</v>
      </c>
      <c r="B339" s="3" t="s">
        <v>16</v>
      </c>
      <c r="C339" s="10" t="str">
        <f>"0001284188"</f>
        <v>0001284188</v>
      </c>
      <c r="D339" s="11" t="str">
        <f t="shared" si="20"/>
        <v>OpenGL reference manual(日本語版) : the official reference document for OpenGL, release 1 / OpenGL Architecture Review Board著.</v>
      </c>
      <c r="E339" s="11" t="str">
        <f>""</f>
        <v/>
      </c>
      <c r="F339" s="28" t="s">
        <v>8</v>
      </c>
      <c r="G339" s="29" t="str">
        <f t="shared" si="22"/>
        <v>007.63/ｵﾌﾟ</v>
      </c>
      <c r="H339" s="10" t="str">
        <f t="shared" si="19"/>
        <v>1997/01/29</v>
      </c>
      <c r="I339" s="12">
        <v>7650</v>
      </c>
      <c r="J339" s="12">
        <v>100</v>
      </c>
      <c r="K339" s="10" t="str">
        <f t="shared" si="21"/>
        <v>1  和書</v>
      </c>
      <c r="L339" s="13"/>
    </row>
    <row r="340" spans="1:12" ht="24" x14ac:dyDescent="0.15">
      <c r="A340" s="36">
        <v>339</v>
      </c>
      <c r="B340" s="3" t="s">
        <v>16</v>
      </c>
      <c r="C340" s="10" t="str">
        <f>"0001284195"</f>
        <v>0001284195</v>
      </c>
      <c r="D340" s="11" t="str">
        <f t="shared" si="20"/>
        <v>OpenGL reference manual(日本語版) : the official reference document for OpenGL, release 1 / OpenGL Architecture Review Board著.</v>
      </c>
      <c r="E340" s="11" t="str">
        <f>""</f>
        <v/>
      </c>
      <c r="F340" s="28" t="s">
        <v>8</v>
      </c>
      <c r="G340" s="29" t="str">
        <f t="shared" si="22"/>
        <v>007.63/ｵﾌﾟ</v>
      </c>
      <c r="H340" s="10" t="str">
        <f t="shared" si="19"/>
        <v>1997/01/29</v>
      </c>
      <c r="I340" s="12">
        <v>7650</v>
      </c>
      <c r="J340" s="12">
        <v>100</v>
      </c>
      <c r="K340" s="10" t="str">
        <f t="shared" si="21"/>
        <v>1  和書</v>
      </c>
      <c r="L340" s="13"/>
    </row>
    <row r="341" spans="1:12" ht="24" x14ac:dyDescent="0.15">
      <c r="A341" s="36">
        <v>340</v>
      </c>
      <c r="B341" s="3" t="s">
        <v>16</v>
      </c>
      <c r="C341" s="10" t="str">
        <f>"0001284201"</f>
        <v>0001284201</v>
      </c>
      <c r="D341" s="11" t="str">
        <f t="shared" si="20"/>
        <v>OpenGL reference manual(日本語版) : the official reference document for OpenGL, release 1 / OpenGL Architecture Review Board著.</v>
      </c>
      <c r="E341" s="11" t="str">
        <f>""</f>
        <v/>
      </c>
      <c r="F341" s="28" t="s">
        <v>8</v>
      </c>
      <c r="G341" s="29" t="str">
        <f t="shared" si="22"/>
        <v>007.63/ｵﾌﾟ</v>
      </c>
      <c r="H341" s="10" t="str">
        <f t="shared" si="19"/>
        <v>1997/01/29</v>
      </c>
      <c r="I341" s="12">
        <v>7650</v>
      </c>
      <c r="J341" s="12">
        <v>100</v>
      </c>
      <c r="K341" s="10" t="str">
        <f t="shared" si="21"/>
        <v>1  和書</v>
      </c>
      <c r="L341" s="13"/>
    </row>
    <row r="342" spans="1:12" ht="24" x14ac:dyDescent="0.15">
      <c r="A342" s="36">
        <v>341</v>
      </c>
      <c r="B342" s="3" t="s">
        <v>16</v>
      </c>
      <c r="C342" s="10" t="str">
        <f>"0001284218"</f>
        <v>0001284218</v>
      </c>
      <c r="D342" s="11" t="str">
        <f t="shared" si="20"/>
        <v>OpenGL reference manual(日本語版) : the official reference document for OpenGL, release 1 / OpenGL Architecture Review Board著.</v>
      </c>
      <c r="E342" s="11" t="str">
        <f>""</f>
        <v/>
      </c>
      <c r="F342" s="28" t="s">
        <v>8</v>
      </c>
      <c r="G342" s="29" t="str">
        <f t="shared" si="22"/>
        <v>007.63/ｵﾌﾟ</v>
      </c>
      <c r="H342" s="10" t="str">
        <f t="shared" si="19"/>
        <v>1997/01/29</v>
      </c>
      <c r="I342" s="12">
        <v>7650</v>
      </c>
      <c r="J342" s="12">
        <v>100</v>
      </c>
      <c r="K342" s="10" t="str">
        <f t="shared" si="21"/>
        <v>1  和書</v>
      </c>
      <c r="L342" s="13"/>
    </row>
    <row r="343" spans="1:12" ht="24" x14ac:dyDescent="0.15">
      <c r="A343" s="36">
        <v>342</v>
      </c>
      <c r="B343" s="3" t="s">
        <v>16</v>
      </c>
      <c r="C343" s="10" t="str">
        <f>"0001284225"</f>
        <v>0001284225</v>
      </c>
      <c r="D343" s="11" t="str">
        <f t="shared" si="20"/>
        <v>OpenGL reference manual(日本語版) : the official reference document for OpenGL, release 1 / OpenGL Architecture Review Board著.</v>
      </c>
      <c r="E343" s="11" t="str">
        <f>""</f>
        <v/>
      </c>
      <c r="F343" s="28" t="s">
        <v>8</v>
      </c>
      <c r="G343" s="29" t="str">
        <f t="shared" si="22"/>
        <v>007.63/ｵﾌﾟ</v>
      </c>
      <c r="H343" s="10" t="str">
        <f t="shared" si="19"/>
        <v>1997/01/29</v>
      </c>
      <c r="I343" s="12">
        <v>7650</v>
      </c>
      <c r="J343" s="12">
        <v>100</v>
      </c>
      <c r="K343" s="10" t="str">
        <f t="shared" si="21"/>
        <v>1  和書</v>
      </c>
      <c r="L343" s="13"/>
    </row>
    <row r="344" spans="1:12" ht="24" x14ac:dyDescent="0.15">
      <c r="A344" s="36">
        <v>343</v>
      </c>
      <c r="B344" s="3" t="s">
        <v>16</v>
      </c>
      <c r="C344" s="10" t="str">
        <f>"0001284232"</f>
        <v>0001284232</v>
      </c>
      <c r="D344" s="11" t="str">
        <f t="shared" si="20"/>
        <v>OpenGL reference manual(日本語版) : the official reference document for OpenGL, release 1 / OpenGL Architecture Review Board著.</v>
      </c>
      <c r="E344" s="11" t="str">
        <f>""</f>
        <v/>
      </c>
      <c r="F344" s="28" t="s">
        <v>8</v>
      </c>
      <c r="G344" s="29" t="str">
        <f t="shared" si="22"/>
        <v>007.63/ｵﾌﾟ</v>
      </c>
      <c r="H344" s="10" t="str">
        <f t="shared" si="19"/>
        <v>1997/01/29</v>
      </c>
      <c r="I344" s="12">
        <v>7650</v>
      </c>
      <c r="J344" s="12">
        <v>100</v>
      </c>
      <c r="K344" s="10" t="str">
        <f t="shared" si="21"/>
        <v>1  和書</v>
      </c>
      <c r="L344" s="13"/>
    </row>
    <row r="345" spans="1:12" ht="24" x14ac:dyDescent="0.15">
      <c r="A345" s="36">
        <v>344</v>
      </c>
      <c r="B345" s="3" t="s">
        <v>16</v>
      </c>
      <c r="C345" s="10" t="str">
        <f>"0001284249"</f>
        <v>0001284249</v>
      </c>
      <c r="D345" s="11" t="str">
        <f t="shared" si="20"/>
        <v>OpenGL reference manual(日本語版) : the official reference document for OpenGL, release 1 / OpenGL Architecture Review Board著.</v>
      </c>
      <c r="E345" s="11" t="str">
        <f>""</f>
        <v/>
      </c>
      <c r="F345" s="28" t="s">
        <v>8</v>
      </c>
      <c r="G345" s="29" t="str">
        <f t="shared" si="22"/>
        <v>007.63/ｵﾌﾟ</v>
      </c>
      <c r="H345" s="10" t="str">
        <f t="shared" si="19"/>
        <v>1997/01/29</v>
      </c>
      <c r="I345" s="12">
        <v>7650</v>
      </c>
      <c r="J345" s="12">
        <v>100</v>
      </c>
      <c r="K345" s="10" t="str">
        <f t="shared" si="21"/>
        <v>1  和書</v>
      </c>
      <c r="L345" s="13"/>
    </row>
    <row r="346" spans="1:12" ht="24" x14ac:dyDescent="0.15">
      <c r="A346" s="36">
        <v>345</v>
      </c>
      <c r="B346" s="3" t="s">
        <v>16</v>
      </c>
      <c r="C346" s="10" t="str">
        <f>"0000839211"</f>
        <v>0000839211</v>
      </c>
      <c r="D346" s="11" t="str">
        <f>"ソフトウェア再利用技術 : オープン・ソフトウェアの開発パラダイム / 片岡雅憲著.-- 日科技連出版社; 1992.4."</f>
        <v>ソフトウェア再利用技術 : オープン・ソフトウェアの開発パラダイム / 片岡雅憲著.-- 日科技連出版社; 1992.4.</v>
      </c>
      <c r="E346" s="11" t="str">
        <f>""</f>
        <v/>
      </c>
      <c r="F346" s="28" t="s">
        <v>8</v>
      </c>
      <c r="G346" s="29" t="str">
        <f>"007.63/ｶﾀ"</f>
        <v>007.63/ｶﾀ</v>
      </c>
      <c r="H346" s="10" t="str">
        <f>"1995/05/12"</f>
        <v>1995/05/12</v>
      </c>
      <c r="I346" s="12">
        <v>4950</v>
      </c>
      <c r="J346" s="12">
        <v>100</v>
      </c>
      <c r="K346" s="10" t="str">
        <f t="shared" si="21"/>
        <v>1  和書</v>
      </c>
      <c r="L346" s="13"/>
    </row>
    <row r="347" spans="1:12" ht="24" x14ac:dyDescent="0.15">
      <c r="A347" s="36">
        <v>346</v>
      </c>
      <c r="B347" s="3" t="s">
        <v>16</v>
      </c>
      <c r="C347" s="10" t="str">
        <f>"0002261065"</f>
        <v>0002261065</v>
      </c>
      <c r="D347" s="11" t="str">
        <f>"LinuxでマルチOS VMware・Basilisk II・VNCの使い方 / 神山文雄著.-- 翔泳社; 2000.10."</f>
        <v>LinuxでマルチOS VMware・Basilisk II・VNCの使い方 / 神山文雄著.-- 翔泳社; 2000.10.</v>
      </c>
      <c r="E347" s="11" t="str">
        <f>""</f>
        <v/>
      </c>
      <c r="F347" s="28" t="s">
        <v>8</v>
      </c>
      <c r="G347" s="29" t="str">
        <f>"007.63/ｶﾐ"</f>
        <v>007.63/ｶﾐ</v>
      </c>
      <c r="H347" s="10" t="str">
        <f>"2000/11/13"</f>
        <v>2000/11/13</v>
      </c>
      <c r="I347" s="12">
        <v>2646</v>
      </c>
      <c r="J347" s="12">
        <v>100</v>
      </c>
      <c r="K347" s="10" t="str">
        <f t="shared" si="21"/>
        <v>1  和書</v>
      </c>
      <c r="L347" s="13"/>
    </row>
    <row r="348" spans="1:12" ht="24" x14ac:dyDescent="0.15">
      <c r="A348" s="36">
        <v>347</v>
      </c>
      <c r="B348" s="3" t="s">
        <v>16</v>
      </c>
      <c r="C348" s="10" t="str">
        <f>"0002264325"</f>
        <v>0002264325</v>
      </c>
      <c r="D348" s="11" t="str">
        <f>"LinuxでマルチOS VMware・Basilisk II・VNCの使い方 / 神山文雄著.-- 翔泳社; 2000.10."</f>
        <v>LinuxでマルチOS VMware・Basilisk II・VNCの使い方 / 神山文雄著.-- 翔泳社; 2000.10.</v>
      </c>
      <c r="E348" s="11" t="str">
        <f>""</f>
        <v/>
      </c>
      <c r="F348" s="28" t="s">
        <v>8</v>
      </c>
      <c r="G348" s="29" t="str">
        <f>"007.63/ｶﾐ"</f>
        <v>007.63/ｶﾐ</v>
      </c>
      <c r="H348" s="10" t="str">
        <f>"2001/02/02"</f>
        <v>2001/02/02</v>
      </c>
      <c r="I348" s="12">
        <v>2646</v>
      </c>
      <c r="J348" s="12">
        <v>100</v>
      </c>
      <c r="K348" s="10" t="str">
        <f t="shared" si="21"/>
        <v>1  和書</v>
      </c>
      <c r="L348" s="13"/>
    </row>
    <row r="349" spans="1:12" ht="24" x14ac:dyDescent="0.15">
      <c r="A349" s="36">
        <v>348</v>
      </c>
      <c r="B349" s="3" t="s">
        <v>16</v>
      </c>
      <c r="C349" s="10" t="str">
        <f>"0001279214"</f>
        <v>0001279214</v>
      </c>
      <c r="D349" s="11" t="str">
        <f>"ソフトウェア/アルゴリズムの権利保護 / 今野浩, 中川淳司編.-- 朝倉書店; 1996.4.-- (シリーズ「現代人の数理」 ; 11)."</f>
        <v>ソフトウェア/アルゴリズムの権利保護 / 今野浩, 中川淳司編.-- 朝倉書店; 1996.4.-- (シリーズ「現代人の数理」 ; 11).</v>
      </c>
      <c r="E349" s="11" t="str">
        <f>""</f>
        <v/>
      </c>
      <c r="F349" s="28" t="s">
        <v>8</v>
      </c>
      <c r="G349" s="29" t="str">
        <f>"007.63/ｺﾝ"</f>
        <v>007.63/ｺﾝ</v>
      </c>
      <c r="H349" s="10" t="str">
        <f>"1996/11/17"</f>
        <v>1996/11/17</v>
      </c>
      <c r="I349" s="12">
        <v>3337</v>
      </c>
      <c r="J349" s="12">
        <v>100</v>
      </c>
      <c r="K349" s="10" t="str">
        <f t="shared" si="21"/>
        <v>1  和書</v>
      </c>
      <c r="L349" s="13"/>
    </row>
    <row r="350" spans="1:12" ht="24" x14ac:dyDescent="0.15">
      <c r="A350" s="36">
        <v>349</v>
      </c>
      <c r="B350" s="3" t="s">
        <v>16</v>
      </c>
      <c r="C350" s="10" t="str">
        <f>"0002252506"</f>
        <v>0002252506</v>
      </c>
      <c r="D350" s="11" t="str">
        <f>"インサイドJavaOSオペレーティングシステム / トム・サルポー, チャールズ・ミロ著 ; 油井尊訳.-- ピアソン・エデュケーション; 1999.11."</f>
        <v>インサイドJavaOSオペレーティングシステム / トム・サルポー, チャールズ・ミロ著 ; 油井尊訳.-- ピアソン・エデュケーション; 1999.11.</v>
      </c>
      <c r="E350" s="11" t="str">
        <f>""</f>
        <v/>
      </c>
      <c r="F350" s="28" t="s">
        <v>8</v>
      </c>
      <c r="G350" s="29" t="str">
        <f>"007.63/ｻﾙ"</f>
        <v>007.63/ｻﾙ</v>
      </c>
      <c r="H350" s="10" t="str">
        <f>"2000/02/18"</f>
        <v>2000/02/18</v>
      </c>
      <c r="I350" s="12">
        <v>2646</v>
      </c>
      <c r="J350" s="12">
        <v>100</v>
      </c>
      <c r="K350" s="10" t="str">
        <f t="shared" si="21"/>
        <v>1  和書</v>
      </c>
      <c r="L350" s="13"/>
    </row>
    <row r="351" spans="1:12" x14ac:dyDescent="0.15">
      <c r="A351" s="36">
        <v>350</v>
      </c>
      <c r="B351" s="3" t="s">
        <v>16</v>
      </c>
      <c r="C351" s="10" t="str">
        <f>"0000839228"</f>
        <v>0000839228</v>
      </c>
      <c r="D351" s="11" t="str">
        <f>"ソフトウェアの保守・再開発と再利用 / 竹下亨著.-- 共立出版; 1992.9."</f>
        <v>ソフトウェアの保守・再開発と再利用 / 竹下亨著.-- 共立出版; 1992.9.</v>
      </c>
      <c r="E351" s="11" t="str">
        <f>""</f>
        <v/>
      </c>
      <c r="F351" s="28" t="s">
        <v>8</v>
      </c>
      <c r="G351" s="29" t="str">
        <f>"007.63/ﾀｹ"</f>
        <v>007.63/ﾀｹ</v>
      </c>
      <c r="H351" s="10" t="str">
        <f>"1995/05/12"</f>
        <v>1995/05/12</v>
      </c>
      <c r="I351" s="12">
        <v>2475</v>
      </c>
      <c r="J351" s="12">
        <v>100</v>
      </c>
      <c r="K351" s="10" t="str">
        <f t="shared" si="21"/>
        <v>1  和書</v>
      </c>
      <c r="L351" s="13"/>
    </row>
    <row r="352" spans="1:12" x14ac:dyDescent="0.15">
      <c r="A352" s="36">
        <v>351</v>
      </c>
      <c r="B352" s="3" t="s">
        <v>16</v>
      </c>
      <c r="C352" s="4" t="str">
        <f>"0001039573"</f>
        <v>0001039573</v>
      </c>
      <c r="D352" s="5" t="str">
        <f>"自然言語解析の基礎 / 田中穂積著.-- 産業図書; 1989.11."</f>
        <v>自然言語解析の基礎 / 田中穂積著.-- 産業図書; 1989.11.</v>
      </c>
      <c r="E352" s="5" t="str">
        <f>""</f>
        <v/>
      </c>
      <c r="F352" s="26"/>
      <c r="G352" s="27" t="str">
        <f>"007.63/ﾀﾅ"</f>
        <v>007.63/ﾀﾅ</v>
      </c>
      <c r="H352" s="4" t="str">
        <f>"1996/03/29"</f>
        <v>1996/03/29</v>
      </c>
      <c r="I352" s="6">
        <v>2571</v>
      </c>
      <c r="J352" s="6">
        <v>100</v>
      </c>
      <c r="K352" s="4" t="str">
        <f t="shared" si="21"/>
        <v>1  和書</v>
      </c>
      <c r="L352" s="7"/>
    </row>
    <row r="353" spans="1:12" x14ac:dyDescent="0.15">
      <c r="A353" s="36">
        <v>352</v>
      </c>
      <c r="B353" s="3" t="s">
        <v>16</v>
      </c>
      <c r="C353" s="4" t="str">
        <f>"0001270471"</f>
        <v>0001270471</v>
      </c>
      <c r="D353" s="5" t="str">
        <f>"自然言語解析の基礎 / 田中穂積著.-- 産業図書; 1989.11."</f>
        <v>自然言語解析の基礎 / 田中穂積著.-- 産業図書; 1989.11.</v>
      </c>
      <c r="E353" s="5" t="str">
        <f>""</f>
        <v/>
      </c>
      <c r="F353" s="26"/>
      <c r="G353" s="27" t="str">
        <f>"007.63/ﾀﾅ"</f>
        <v>007.63/ﾀﾅ</v>
      </c>
      <c r="H353" s="4" t="str">
        <f>"1996/06/19"</f>
        <v>1996/06/19</v>
      </c>
      <c r="I353" s="6">
        <v>2966</v>
      </c>
      <c r="J353" s="6">
        <v>100</v>
      </c>
      <c r="K353" s="4" t="str">
        <f t="shared" si="21"/>
        <v>1  和書</v>
      </c>
      <c r="L353" s="7"/>
    </row>
    <row r="354" spans="1:12" x14ac:dyDescent="0.15">
      <c r="A354" s="36">
        <v>353</v>
      </c>
      <c r="B354" s="3" t="s">
        <v>16</v>
      </c>
      <c r="C354" s="10" t="str">
        <f>"0000839174"</f>
        <v>0000839174</v>
      </c>
      <c r="D354" s="11" t="str">
        <f>"CASEのすべて / 原田実監修.-- オーム社; 1991.11."</f>
        <v>CASEのすべて / 原田実監修.-- オーム社; 1991.11.</v>
      </c>
      <c r="E354" s="11" t="str">
        <f>""</f>
        <v/>
      </c>
      <c r="F354" s="28" t="s">
        <v>8</v>
      </c>
      <c r="G354" s="29" t="str">
        <f>"007.63/ﾊﾗ"</f>
        <v>007.63/ﾊﾗ</v>
      </c>
      <c r="H354" s="10" t="str">
        <f>"1995/05/12"</f>
        <v>1995/05/12</v>
      </c>
      <c r="I354" s="12">
        <v>5220</v>
      </c>
      <c r="J354" s="12">
        <v>100</v>
      </c>
      <c r="K354" s="10" t="str">
        <f t="shared" si="21"/>
        <v>1  和書</v>
      </c>
      <c r="L354" s="13"/>
    </row>
    <row r="355" spans="1:12" ht="24" x14ac:dyDescent="0.15">
      <c r="A355" s="36">
        <v>354</v>
      </c>
      <c r="B355" s="3" t="s">
        <v>16</v>
      </c>
      <c r="C355" s="10" t="str">
        <f>"0001293838"</f>
        <v>0001293838</v>
      </c>
      <c r="D355" s="11" t="str">
        <f>"MH &amp; xmh / Jerry Peek著 ; 倉骨彰訳.-- アスキー; 1994.11.-- (Nutshell handbooks ; . UNIX communications)."</f>
        <v>MH &amp; xmh / Jerry Peek著 ; 倉骨彰訳.-- アスキー; 1994.11.-- (Nutshell handbooks ; . UNIX communications).</v>
      </c>
      <c r="E355" s="11" t="str">
        <f>""</f>
        <v/>
      </c>
      <c r="F355" s="28" t="s">
        <v>8</v>
      </c>
      <c r="G355" s="29" t="str">
        <f>"007.63/ﾋﾟｸ"</f>
        <v>007.63/ﾋﾟｸ</v>
      </c>
      <c r="H355" s="10" t="str">
        <f>"1997/06/27"</f>
        <v>1997/06/27</v>
      </c>
      <c r="I355" s="12">
        <v>5320</v>
      </c>
      <c r="J355" s="12">
        <v>100</v>
      </c>
      <c r="K355" s="10" t="str">
        <f t="shared" si="21"/>
        <v>1  和書</v>
      </c>
      <c r="L355" s="13"/>
    </row>
    <row r="356" spans="1:12" ht="24" x14ac:dyDescent="0.15">
      <c r="A356" s="36">
        <v>355</v>
      </c>
      <c r="B356" s="3" t="s">
        <v>16</v>
      </c>
      <c r="C356" s="10" t="str">
        <f>"0000840743"</f>
        <v>0000840743</v>
      </c>
      <c r="D356" s="11" t="str">
        <f>"Xウィンドウ実践技術講座 : 基礎から応用まで / 松田晃一著.-- ソフト・リサーチ・センター; 1992.10."</f>
        <v>Xウィンドウ実践技術講座 : 基礎から応用まで / 松田晃一著.-- ソフト・リサーチ・センター; 1992.10.</v>
      </c>
      <c r="E356" s="11" t="str">
        <f>""</f>
        <v/>
      </c>
      <c r="F356" s="28" t="s">
        <v>8</v>
      </c>
      <c r="G356" s="29" t="str">
        <f>"007.63/ﾏﾂ"</f>
        <v>007.63/ﾏﾂ</v>
      </c>
      <c r="H356" s="10" t="str">
        <f>"1995/05/23"</f>
        <v>1995/05/23</v>
      </c>
      <c r="I356" s="12">
        <v>8820</v>
      </c>
      <c r="J356" s="12">
        <v>100</v>
      </c>
      <c r="K356" s="10" t="str">
        <f t="shared" si="21"/>
        <v>1  和書</v>
      </c>
      <c r="L356" s="13"/>
    </row>
    <row r="357" spans="1:12" ht="36" x14ac:dyDescent="0.15">
      <c r="A357" s="36">
        <v>356</v>
      </c>
      <c r="B357" s="3" t="s">
        <v>16</v>
      </c>
      <c r="C357" s="10" t="str">
        <f>"0002252049"</f>
        <v>0002252049</v>
      </c>
      <c r="D357" s="11" t="str">
        <f>"Linux/FreeBSD/Solarisで学ぶUNIX : 基本操作からフリーソフトのコンパイル/インストールまで / 皆本晃弥著.-- サイエンス社; 1999.9.-- (Information &amp; computing ; ex.-19)."</f>
        <v>Linux/FreeBSD/Solarisで学ぶUNIX : 基本操作からフリーソフトのコンパイル/インストールまで / 皆本晃弥著.-- サイエンス社; 1999.9.-- (Information &amp; computing ; ex.-19).</v>
      </c>
      <c r="E357" s="11" t="str">
        <f>""</f>
        <v/>
      </c>
      <c r="F357" s="28" t="s">
        <v>8</v>
      </c>
      <c r="G357" s="29" t="str">
        <f>"007.63/ﾐﾅ"</f>
        <v>007.63/ﾐﾅ</v>
      </c>
      <c r="H357" s="10" t="str">
        <f>"2000/01/25"</f>
        <v>2000/01/25</v>
      </c>
      <c r="I357" s="12">
        <v>2174</v>
      </c>
      <c r="J357" s="12">
        <v>100</v>
      </c>
      <c r="K357" s="10" t="str">
        <f t="shared" si="21"/>
        <v>1  和書</v>
      </c>
      <c r="L357" s="13"/>
    </row>
    <row r="358" spans="1:12" ht="24" x14ac:dyDescent="0.15">
      <c r="A358" s="36">
        <v>357</v>
      </c>
      <c r="B358" s="3" t="s">
        <v>16</v>
      </c>
      <c r="C358" s="10" t="str">
        <f>"0000956079"</f>
        <v>0000956079</v>
      </c>
      <c r="D358" s="11" t="str">
        <f>"Software design / David Budgen.-- Addison-Wesley; c1994.-- (International computer science series)."</f>
        <v>Software design / David Budgen.-- Addison-Wesley; c1994.-- (International computer science series).</v>
      </c>
      <c r="E358" s="11" t="str">
        <f>""</f>
        <v/>
      </c>
      <c r="F358" s="28" t="s">
        <v>8</v>
      </c>
      <c r="G358" s="29" t="str">
        <f>"007.63/BU"</f>
        <v>007.63/BU</v>
      </c>
      <c r="H358" s="10" t="str">
        <f>"1996/03/29"</f>
        <v>1996/03/29</v>
      </c>
      <c r="I358" s="12">
        <v>4390</v>
      </c>
      <c r="J358" s="12">
        <v>100</v>
      </c>
      <c r="K358" s="10" t="str">
        <f t="shared" ref="K358:K385" si="23">"2  洋書"</f>
        <v>2  洋書</v>
      </c>
      <c r="L358" s="13"/>
    </row>
    <row r="359" spans="1:12" ht="24" x14ac:dyDescent="0.15">
      <c r="A359" s="36">
        <v>358</v>
      </c>
      <c r="B359" s="3" t="s">
        <v>16</v>
      </c>
      <c r="C359" s="10" t="str">
        <f>"0000850889"</f>
        <v>0000850889</v>
      </c>
      <c r="D359" s="11" t="str">
        <f>"Software process automation : the technology and its adoption / Alan M. Christie ; : gw, : us.-- Springer-Verlag; 1995."</f>
        <v>Software process automation : the technology and its adoption / Alan M. Christie ; : gw, : us.-- Springer-Verlag; 1995.</v>
      </c>
      <c r="E359" s="11" t="str">
        <f>": gw"</f>
        <v>: gw</v>
      </c>
      <c r="F359" s="28" t="s">
        <v>8</v>
      </c>
      <c r="G359" s="29" t="str">
        <f>"007.63/CH"</f>
        <v>007.63/CH</v>
      </c>
      <c r="H359" s="10" t="str">
        <f>"1995/06/12"</f>
        <v>1995/06/12</v>
      </c>
      <c r="I359" s="12">
        <v>5376</v>
      </c>
      <c r="J359" s="12">
        <v>100</v>
      </c>
      <c r="K359" s="10" t="str">
        <f t="shared" si="23"/>
        <v>2  洋書</v>
      </c>
      <c r="L359" s="13"/>
    </row>
    <row r="360" spans="1:12" ht="60" x14ac:dyDescent="0.15">
      <c r="A360" s="36">
        <v>359</v>
      </c>
      <c r="B360" s="3" t="s">
        <v>16</v>
      </c>
      <c r="C360" s="4" t="str">
        <f>"0000468688"</f>
        <v>0000468688</v>
      </c>
      <c r="D360" s="5" t="s">
        <v>21</v>
      </c>
      <c r="E360" s="5" t="str">
        <f>""</f>
        <v/>
      </c>
      <c r="F360" s="26"/>
      <c r="G360" s="27" t="str">
        <f>"007.63/CO/1"</f>
        <v>007.63/CO/1</v>
      </c>
      <c r="H360" s="4" t="str">
        <f>"1994/07/07"</f>
        <v>1994/07/07</v>
      </c>
      <c r="I360" s="6">
        <v>9991</v>
      </c>
      <c r="J360" s="6">
        <v>100</v>
      </c>
      <c r="K360" s="4" t="str">
        <f t="shared" si="23"/>
        <v>2  洋書</v>
      </c>
      <c r="L360" s="7"/>
    </row>
    <row r="361" spans="1:12" ht="60" x14ac:dyDescent="0.15">
      <c r="A361" s="36">
        <v>360</v>
      </c>
      <c r="B361" s="3" t="s">
        <v>16</v>
      </c>
      <c r="C361" s="4" t="str">
        <f>"0000502436"</f>
        <v>0000502436</v>
      </c>
      <c r="D361" s="5" t="s">
        <v>21</v>
      </c>
      <c r="E361" s="5" t="str">
        <f>""</f>
        <v/>
      </c>
      <c r="F361" s="26"/>
      <c r="G361" s="27" t="str">
        <f>"007.63/CO/1"</f>
        <v>007.63/CO/1</v>
      </c>
      <c r="H361" s="4" t="str">
        <f>"1994/11/09"</f>
        <v>1994/11/09</v>
      </c>
      <c r="I361" s="6">
        <v>9723</v>
      </c>
      <c r="J361" s="6">
        <v>100</v>
      </c>
      <c r="K361" s="4" t="str">
        <f t="shared" si="23"/>
        <v>2  洋書</v>
      </c>
      <c r="L361" s="7"/>
    </row>
    <row r="362" spans="1:12" ht="60" x14ac:dyDescent="0.15">
      <c r="A362" s="36">
        <v>361</v>
      </c>
      <c r="B362" s="3" t="s">
        <v>16</v>
      </c>
      <c r="C362" s="4" t="str">
        <f>"0000502474"</f>
        <v>0000502474</v>
      </c>
      <c r="D362" s="5" t="s">
        <v>22</v>
      </c>
      <c r="E362" s="5" t="str">
        <f>""</f>
        <v/>
      </c>
      <c r="F362" s="26"/>
      <c r="G362" s="27" t="str">
        <f>"007.63/CO/2"</f>
        <v>007.63/CO/2</v>
      </c>
      <c r="H362" s="4" t="str">
        <f>"1994/11/09"</f>
        <v>1994/11/09</v>
      </c>
      <c r="I362" s="6">
        <v>7776</v>
      </c>
      <c r="J362" s="6">
        <v>100</v>
      </c>
      <c r="K362" s="4" t="str">
        <f t="shared" si="23"/>
        <v>2  洋書</v>
      </c>
      <c r="L362" s="7"/>
    </row>
    <row r="363" spans="1:12" ht="48" x14ac:dyDescent="0.15">
      <c r="A363" s="36">
        <v>362</v>
      </c>
      <c r="B363" s="3" t="s">
        <v>16</v>
      </c>
      <c r="C363" s="4" t="str">
        <f>"0000850797"</f>
        <v>0000850797</v>
      </c>
      <c r="D363" s="5" t="s">
        <v>23</v>
      </c>
      <c r="E363" s="5" t="str">
        <f>""</f>
        <v/>
      </c>
      <c r="F363" s="26"/>
      <c r="G363" s="27" t="str">
        <f>"007.63/CO/3"</f>
        <v>007.63/CO/3</v>
      </c>
      <c r="H363" s="4" t="str">
        <f>"1995/06/12"</f>
        <v>1995/06/12</v>
      </c>
      <c r="I363" s="6">
        <v>6757</v>
      </c>
      <c r="J363" s="6">
        <v>100</v>
      </c>
      <c r="K363" s="4" t="str">
        <f t="shared" si="23"/>
        <v>2  洋書</v>
      </c>
      <c r="L363" s="7"/>
    </row>
    <row r="364" spans="1:12" ht="48" x14ac:dyDescent="0.15">
      <c r="A364" s="36">
        <v>363</v>
      </c>
      <c r="B364" s="3" t="s">
        <v>16</v>
      </c>
      <c r="C364" s="4" t="str">
        <f>"0001290844"</f>
        <v>0001290844</v>
      </c>
      <c r="D364" s="5" t="str">
        <f>"Making learning systems practical.-- MIT Press; c1997.-- (Computational learning theory and natural learning systems / edited by Russell Greiner, Thomas Petsche and Stephen Jos◆U00E9◆ Hanson ; v. 4)."</f>
        <v>Making learning systems practical.-- MIT Press; c1997.-- (Computational learning theory and natural learning systems / edited by Russell Greiner, Thomas Petsche and Stephen Jos◆U00E9◆ Hanson ; v. 4).</v>
      </c>
      <c r="E364" s="5" t="str">
        <f>""</f>
        <v/>
      </c>
      <c r="F364" s="26"/>
      <c r="G364" s="27" t="str">
        <f>"007.63/CO/4"</f>
        <v>007.63/CO/4</v>
      </c>
      <c r="H364" s="4" t="str">
        <f>"1997/05/08"</f>
        <v>1997/05/08</v>
      </c>
      <c r="I364" s="6">
        <v>9695</v>
      </c>
      <c r="J364" s="6">
        <v>100</v>
      </c>
      <c r="K364" s="4" t="str">
        <f t="shared" si="23"/>
        <v>2  洋書</v>
      </c>
      <c r="L364" s="7"/>
    </row>
    <row r="365" spans="1:12" ht="24" x14ac:dyDescent="0.15">
      <c r="A365" s="36">
        <v>364</v>
      </c>
      <c r="B365" s="3" t="s">
        <v>16</v>
      </c>
      <c r="C365" s="10" t="str">
        <f>"0000544504"</f>
        <v>0000544504</v>
      </c>
      <c r="D365" s="11" t="str">
        <f>"Encyclopedia of software engineering / John J. Marciniak, editor-in-chief ; v. 1. A-N, v. 2. O-Z.-- John Wiley; c1994."</f>
        <v>Encyclopedia of software engineering / John J. Marciniak, editor-in-chief ; v. 1. A-N, v. 2. O-Z.-- John Wiley; c1994.</v>
      </c>
      <c r="E365" s="11" t="str">
        <f>"v. 1. A-N"</f>
        <v>v. 1. A-N</v>
      </c>
      <c r="F365" s="28" t="s">
        <v>8</v>
      </c>
      <c r="G365" s="29" t="str">
        <f>"R007.63/EN/1"</f>
        <v>R007.63/EN/1</v>
      </c>
      <c r="H365" s="10" t="str">
        <f>"1995/04/28"</f>
        <v>1995/04/28</v>
      </c>
      <c r="I365" s="12">
        <v>16268</v>
      </c>
      <c r="J365" s="14">
        <v>500</v>
      </c>
      <c r="K365" s="10" t="str">
        <f t="shared" si="23"/>
        <v>2  洋書</v>
      </c>
      <c r="L365" s="13"/>
    </row>
    <row r="366" spans="1:12" ht="24" x14ac:dyDescent="0.15">
      <c r="A366" s="36">
        <v>365</v>
      </c>
      <c r="B366" s="3" t="s">
        <v>16</v>
      </c>
      <c r="C366" s="10" t="str">
        <f>"0000544511"</f>
        <v>0000544511</v>
      </c>
      <c r="D366" s="11" t="str">
        <f>"Encyclopedia of software engineering / John J. Marciniak, editor-in-chief ; v. 1. A-N, v. 2. O-Z.-- John Wiley; c1994."</f>
        <v>Encyclopedia of software engineering / John J. Marciniak, editor-in-chief ; v. 1. A-N, v. 2. O-Z.-- John Wiley; c1994.</v>
      </c>
      <c r="E366" s="11" t="str">
        <f>"v. 2. O-Z"</f>
        <v>v. 2. O-Z</v>
      </c>
      <c r="F366" s="28" t="s">
        <v>8</v>
      </c>
      <c r="G366" s="29" t="str">
        <f>"R007.63/EN/2"</f>
        <v>R007.63/EN/2</v>
      </c>
      <c r="H366" s="10" t="str">
        <f>"1995/04/28"</f>
        <v>1995/04/28</v>
      </c>
      <c r="I366" s="12">
        <v>16269</v>
      </c>
      <c r="J366" s="14">
        <v>500</v>
      </c>
      <c r="K366" s="10" t="str">
        <f t="shared" si="23"/>
        <v>2  洋書</v>
      </c>
      <c r="L366" s="13"/>
    </row>
    <row r="367" spans="1:12" ht="36" x14ac:dyDescent="0.15">
      <c r="A367" s="36">
        <v>366</v>
      </c>
      <c r="B367" s="3" t="s">
        <v>16</v>
      </c>
      <c r="C367" s="10" t="str">
        <f>"0001288063"</f>
        <v>0001288063</v>
      </c>
      <c r="D367" s="11" t="str">
        <f>"Analysis patterns : reusable object models / Martin Fowler.-- Addison Wesley; c1997.-- (The Addison-Wesley series in object-oriented software engineering)."</f>
        <v>Analysis patterns : reusable object models / Martin Fowler.-- Addison Wesley; c1997.-- (The Addison-Wesley series in object-oriented software engineering).</v>
      </c>
      <c r="E367" s="11" t="str">
        <f>""</f>
        <v/>
      </c>
      <c r="F367" s="28" t="s">
        <v>8</v>
      </c>
      <c r="G367" s="29" t="str">
        <f>"007.63/FO"</f>
        <v>007.63/FO</v>
      </c>
      <c r="H367" s="10" t="str">
        <f>"1997/04/15"</f>
        <v>1997/04/15</v>
      </c>
      <c r="I367" s="12">
        <v>6492</v>
      </c>
      <c r="J367" s="12">
        <v>100</v>
      </c>
      <c r="K367" s="10" t="str">
        <f t="shared" si="23"/>
        <v>2  洋書</v>
      </c>
      <c r="L367" s="13"/>
    </row>
    <row r="368" spans="1:12" ht="36" x14ac:dyDescent="0.15">
      <c r="A368" s="36">
        <v>367</v>
      </c>
      <c r="B368" s="3" t="s">
        <v>16</v>
      </c>
      <c r="C368" s="10" t="str">
        <f>"0000870368"</f>
        <v>0000870368</v>
      </c>
      <c r="D368" s="11" t="str">
        <f>"Software engineering in the UNIX/C environment / William B. Frakes, Christopher J. Fox, Brian A. Nejmeh ; pbk..-- Prentice Hall International; c1991."</f>
        <v>Software engineering in the UNIX/C environment / William B. Frakes, Christopher J. Fox, Brian A. Nejmeh ; pbk..-- Prentice Hall International; c1991.</v>
      </c>
      <c r="E368" s="11" t="str">
        <f>"pbk."</f>
        <v>pbk.</v>
      </c>
      <c r="F368" s="28" t="s">
        <v>8</v>
      </c>
      <c r="G368" s="29" t="str">
        <f>"007.63/FR"</f>
        <v>007.63/FR</v>
      </c>
      <c r="H368" s="10" t="str">
        <f>"1995/08/30"</f>
        <v>1995/08/30</v>
      </c>
      <c r="I368" s="12">
        <v>3244</v>
      </c>
      <c r="J368" s="12">
        <v>100</v>
      </c>
      <c r="K368" s="10" t="str">
        <f t="shared" si="23"/>
        <v>2  洋書</v>
      </c>
      <c r="L368" s="13"/>
    </row>
    <row r="369" spans="1:12" ht="36" x14ac:dyDescent="0.15">
      <c r="A369" s="36">
        <v>368</v>
      </c>
      <c r="B369" s="3" t="s">
        <v>16</v>
      </c>
      <c r="C369" s="10" t="str">
        <f>"0000837897"</f>
        <v>0000837897</v>
      </c>
      <c r="D369" s="11" t="str">
        <f>"PVM : parallel virtual machine : a users' guide and tutorial for networked parallel computing / Al Geist ... [et al.] ; : pbk.-- MIT Press; c1994.-- (Scientific and engineering computation)."</f>
        <v>PVM : parallel virtual machine : a users' guide and tutorial for networked parallel computing / Al Geist ... [et al.] ; : pbk.-- MIT Press; c1994.-- (Scientific and engineering computation).</v>
      </c>
      <c r="E369" s="11" t="str">
        <f>": pbk"</f>
        <v>: pbk</v>
      </c>
      <c r="F369" s="28" t="s">
        <v>8</v>
      </c>
      <c r="G369" s="29" t="str">
        <f>"007.63/GE"</f>
        <v>007.63/GE</v>
      </c>
      <c r="H369" s="10" t="str">
        <f>"1995/05/23"</f>
        <v>1995/05/23</v>
      </c>
      <c r="I369" s="12">
        <v>3105</v>
      </c>
      <c r="J369" s="12">
        <v>100</v>
      </c>
      <c r="K369" s="10" t="str">
        <f t="shared" si="23"/>
        <v>2  洋書</v>
      </c>
      <c r="L369" s="13"/>
    </row>
    <row r="370" spans="1:12" ht="24" x14ac:dyDescent="0.15">
      <c r="A370" s="36">
        <v>369</v>
      </c>
      <c r="B370" s="3" t="s">
        <v>16</v>
      </c>
      <c r="C370" s="10" t="str">
        <f>"0000505819"</f>
        <v>0000505819</v>
      </c>
      <c r="D370" s="11" t="str">
        <f>"The LaTeX companion / Michel Goossens, Frank Mittelbach, Alexander Samarin.-- Addison-Wesley; c1994."</f>
        <v>The LaTeX companion / Michel Goossens, Frank Mittelbach, Alexander Samarin.-- Addison-Wesley; c1994.</v>
      </c>
      <c r="E370" s="11" t="str">
        <f>""</f>
        <v/>
      </c>
      <c r="F370" s="28" t="s">
        <v>8</v>
      </c>
      <c r="G370" s="29" t="str">
        <f>"007.63/GO"</f>
        <v>007.63/GO</v>
      </c>
      <c r="H370" s="10" t="str">
        <f>"1994/12/06"</f>
        <v>1994/12/06</v>
      </c>
      <c r="I370" s="12">
        <v>5953</v>
      </c>
      <c r="J370" s="12">
        <v>100</v>
      </c>
      <c r="K370" s="10" t="str">
        <f t="shared" si="23"/>
        <v>2  洋書</v>
      </c>
      <c r="L370" s="13"/>
    </row>
    <row r="371" spans="1:12" ht="36" x14ac:dyDescent="0.15">
      <c r="A371" s="36">
        <v>370</v>
      </c>
      <c r="B371" s="3" t="s">
        <v>16</v>
      </c>
      <c r="C371" s="10" t="str">
        <f>"0001660296"</f>
        <v>0001660296</v>
      </c>
      <c r="D371" s="11" t="str">
        <f>"Applications of formal methods / edited by Michael G. Hinchey and Jonathan Bowen.-- Prentice Hall; 1995.-- (Prentice-Hall International series in computer science)."</f>
        <v>Applications of formal methods / edited by Michael G. Hinchey and Jonathan Bowen.-- Prentice Hall; 1995.-- (Prentice-Hall International series in computer science).</v>
      </c>
      <c r="E371" s="11" t="str">
        <f>""</f>
        <v/>
      </c>
      <c r="F371" s="28" t="s">
        <v>8</v>
      </c>
      <c r="G371" s="29" t="str">
        <f>"007.63/HI"</f>
        <v>007.63/HI</v>
      </c>
      <c r="H371" s="10" t="str">
        <f>"1997/11/07"</f>
        <v>1997/11/07</v>
      </c>
      <c r="I371" s="12">
        <v>10366</v>
      </c>
      <c r="J371" s="14">
        <v>500</v>
      </c>
      <c r="K371" s="10" t="str">
        <f t="shared" si="23"/>
        <v>2  洋書</v>
      </c>
      <c r="L371" s="13"/>
    </row>
    <row r="372" spans="1:12" ht="24" x14ac:dyDescent="0.15">
      <c r="A372" s="36">
        <v>371</v>
      </c>
      <c r="B372" s="3" t="s">
        <v>16</v>
      </c>
      <c r="C372" s="10" t="str">
        <f>"0000847025"</f>
        <v>0000847025</v>
      </c>
      <c r="D372" s="11" t="str">
        <f>"The Berkeley UNIX environment / R. Nigel Horspool.-- 2nd ed.-- Prentice-Hall Canada; c1992."</f>
        <v>The Berkeley UNIX environment / R. Nigel Horspool.-- 2nd ed.-- Prentice-Hall Canada; c1992.</v>
      </c>
      <c r="E372" s="11" t="str">
        <f>""</f>
        <v/>
      </c>
      <c r="F372" s="28" t="s">
        <v>8</v>
      </c>
      <c r="G372" s="29" t="str">
        <f>"007.63/HO"</f>
        <v>007.63/HO</v>
      </c>
      <c r="H372" s="10" t="str">
        <f>"1995/05/30"</f>
        <v>1995/05/30</v>
      </c>
      <c r="I372" s="12">
        <v>8361</v>
      </c>
      <c r="J372" s="12">
        <v>100</v>
      </c>
      <c r="K372" s="10" t="str">
        <f t="shared" si="23"/>
        <v>2  洋書</v>
      </c>
      <c r="L372" s="13"/>
    </row>
    <row r="373" spans="1:12" ht="48" x14ac:dyDescent="0.15">
      <c r="A373" s="36">
        <v>372</v>
      </c>
      <c r="B373" s="3" t="s">
        <v>16</v>
      </c>
      <c r="C373" s="10" t="str">
        <f>"0001690132"</f>
        <v>0001690132</v>
      </c>
      <c r="D373" s="11" t="str">
        <f>"The unified software development process / Ivar Jacobson, Grady Booch, James Rumbaugh.-- Addison-Wesley; 1999.-- (The Addison-Wesley object technology series / Grady Booch, Ivan Jacobson, James Rumbaugh)."</f>
        <v>The unified software development process / Ivar Jacobson, Grady Booch, James Rumbaugh.-- Addison-Wesley; 1999.-- (The Addison-Wesley object technology series / Grady Booch, Ivan Jacobson, James Rumbaugh).</v>
      </c>
      <c r="E373" s="11" t="str">
        <f>""</f>
        <v/>
      </c>
      <c r="F373" s="28" t="s">
        <v>8</v>
      </c>
      <c r="G373" s="29" t="str">
        <f>"007.63/JA"</f>
        <v>007.63/JA</v>
      </c>
      <c r="H373" s="10" t="str">
        <f>"1999/02/24"</f>
        <v>1999/02/24</v>
      </c>
      <c r="I373" s="12">
        <v>8071</v>
      </c>
      <c r="J373" s="12">
        <v>100</v>
      </c>
      <c r="K373" s="10" t="str">
        <f t="shared" si="23"/>
        <v>2  洋書</v>
      </c>
      <c r="L373" s="13"/>
    </row>
    <row r="374" spans="1:12" ht="36" x14ac:dyDescent="0.15">
      <c r="A374" s="36">
        <v>373</v>
      </c>
      <c r="B374" s="3" t="s">
        <v>16</v>
      </c>
      <c r="C374" s="10" t="str">
        <f>"0000866743"</f>
        <v>0000866743</v>
      </c>
      <c r="D374" s="11" t="str">
        <f>"Systematic software development using VDM / Cliff B. Jones.-- 2nd ed.-- Prentice Hall; 1990.-- (Prentice-Hall International series in computer science)."</f>
        <v>Systematic software development using VDM / Cliff B. Jones.-- 2nd ed.-- Prentice Hall; 1990.-- (Prentice-Hall International series in computer science).</v>
      </c>
      <c r="E374" s="11" t="str">
        <f>""</f>
        <v/>
      </c>
      <c r="F374" s="28" t="s">
        <v>8</v>
      </c>
      <c r="G374" s="29" t="str">
        <f>"007.63/JO"</f>
        <v>007.63/JO</v>
      </c>
      <c r="H374" s="10" t="str">
        <f>"1995/08/11"</f>
        <v>1995/08/11</v>
      </c>
      <c r="I374" s="12">
        <v>3168</v>
      </c>
      <c r="J374" s="12">
        <v>100</v>
      </c>
      <c r="K374" s="10" t="str">
        <f t="shared" si="23"/>
        <v>2  洋書</v>
      </c>
      <c r="L374" s="13"/>
    </row>
    <row r="375" spans="1:12" ht="24" x14ac:dyDescent="0.15">
      <c r="A375" s="36">
        <v>374</v>
      </c>
      <c r="B375" s="3" t="s">
        <v>16</v>
      </c>
      <c r="C375" s="10" t="str">
        <f>"0000476331"</f>
        <v>0000476331</v>
      </c>
      <c r="D375" s="11" t="str">
        <f>"LATEX : a document preparation system / Leslie Lamport ; illustrations by Duane Bibby.-- Addison-Wesley Pub. Co.; c1986."</f>
        <v>LATEX : a document preparation system / Leslie Lamport ; illustrations by Duane Bibby.-- Addison-Wesley Pub. Co.; c1986.</v>
      </c>
      <c r="E375" s="11" t="str">
        <f>""</f>
        <v/>
      </c>
      <c r="F375" s="28" t="s">
        <v>8</v>
      </c>
      <c r="G375" s="29" t="str">
        <f>"007.63/LA"</f>
        <v>007.63/LA</v>
      </c>
      <c r="H375" s="10" t="str">
        <f>"1994/08/03"</f>
        <v>1994/08/03</v>
      </c>
      <c r="I375" s="12">
        <v>5756</v>
      </c>
      <c r="J375" s="12">
        <v>100</v>
      </c>
      <c r="K375" s="10" t="str">
        <f t="shared" si="23"/>
        <v>2  洋書</v>
      </c>
      <c r="L375" s="13"/>
    </row>
    <row r="376" spans="1:12" ht="24" x14ac:dyDescent="0.15">
      <c r="A376" s="36">
        <v>375</v>
      </c>
      <c r="B376" s="3" t="s">
        <v>16</v>
      </c>
      <c r="C376" s="10" t="str">
        <f>"0000555630"</f>
        <v>0000555630</v>
      </c>
      <c r="D376" s="11" t="str">
        <f>"Understanding images : finding meaning in digital imagery / Francis T. Marchese.-- TELOS; 1995."</f>
        <v>Understanding images : finding meaning in digital imagery / Francis T. Marchese.-- TELOS; 1995.</v>
      </c>
      <c r="E376" s="11" t="str">
        <f>""</f>
        <v/>
      </c>
      <c r="F376" s="28" t="s">
        <v>8</v>
      </c>
      <c r="G376" s="29" t="str">
        <f>"007.63/MA"</f>
        <v>007.63/MA</v>
      </c>
      <c r="H376" s="10" t="str">
        <f>"1995/04/28"</f>
        <v>1995/04/28</v>
      </c>
      <c r="I376" s="12">
        <v>8157</v>
      </c>
      <c r="J376" s="12">
        <v>100</v>
      </c>
      <c r="K376" s="10" t="str">
        <f t="shared" si="23"/>
        <v>2  洋書</v>
      </c>
      <c r="L376" s="13"/>
    </row>
    <row r="377" spans="1:12" ht="36" x14ac:dyDescent="0.15">
      <c r="A377" s="36">
        <v>376</v>
      </c>
      <c r="B377" s="3" t="s">
        <v>16</v>
      </c>
      <c r="C377" s="10" t="str">
        <f>"0001285161"</f>
        <v>0001285161</v>
      </c>
      <c r="D377" s="11" t="str">
        <f>"Object-orientation and prototyping in software engineering / Gustav Pomberger and G◆U00FC◆nther Blaschek ; translation by Robert Bach ; : pbk..-- Prentice Hall; 1996.-- (Prentice Hall object-oriented series)."</f>
        <v>Object-orientation and prototyping in software engineering / Gustav Pomberger and G◆U00FC◆nther Blaschek ; translation by Robert Bach ; : pbk..-- Prentice Hall; 1996.-- (Prentice Hall object-oriented series).</v>
      </c>
      <c r="E377" s="11" t="str">
        <f>": pbk."</f>
        <v>: pbk.</v>
      </c>
      <c r="F377" s="28" t="s">
        <v>8</v>
      </c>
      <c r="G377" s="29" t="str">
        <f>"007.63/PO"</f>
        <v>007.63/PO</v>
      </c>
      <c r="H377" s="10" t="str">
        <f>"1997/02/21"</f>
        <v>1997/02/21</v>
      </c>
      <c r="I377" s="12">
        <v>6470</v>
      </c>
      <c r="J377" s="12">
        <v>100</v>
      </c>
      <c r="K377" s="10" t="str">
        <f t="shared" si="23"/>
        <v>2  洋書</v>
      </c>
      <c r="L377" s="13"/>
    </row>
    <row r="378" spans="1:12" ht="24" x14ac:dyDescent="0.15">
      <c r="A378" s="36">
        <v>377</v>
      </c>
      <c r="B378" s="3" t="s">
        <v>16</v>
      </c>
      <c r="C378" s="10" t="str">
        <f>"0001277074"</f>
        <v>0001277074</v>
      </c>
      <c r="D378" s="11" t="str">
        <f>"Design patterns for object-oriented software development / Wolfgang Pree.-- Addison-Wesley Pub. Co.; c1995."</f>
        <v>Design patterns for object-oriented software development / Wolfgang Pree.-- Addison-Wesley Pub. Co.; c1995.</v>
      </c>
      <c r="E378" s="11" t="str">
        <f>""</f>
        <v/>
      </c>
      <c r="F378" s="28" t="s">
        <v>8</v>
      </c>
      <c r="G378" s="29" t="str">
        <f>"007.63/PR"</f>
        <v>007.63/PR</v>
      </c>
      <c r="H378" s="10" t="str">
        <f>"1996/10/15"</f>
        <v>1996/10/15</v>
      </c>
      <c r="I378" s="12">
        <v>5682</v>
      </c>
      <c r="J378" s="12">
        <v>100</v>
      </c>
      <c r="K378" s="10" t="str">
        <f t="shared" si="23"/>
        <v>2  洋書</v>
      </c>
      <c r="L378" s="13"/>
    </row>
    <row r="379" spans="1:12" ht="36" x14ac:dyDescent="0.15">
      <c r="A379" s="36">
        <v>378</v>
      </c>
      <c r="B379" s="3" t="s">
        <v>16</v>
      </c>
      <c r="C379" s="10" t="str">
        <f>"0001272970"</f>
        <v>0001272970</v>
      </c>
      <c r="D379" s="11" t="str">
        <f>"Software architecture : perspectives on an emerging discipline / Mary Shaw, David Garlan ; [foreword by Barry Boehm] ; : pbk.-- Prentice Hall; c1996.-- (An Alan R. Apt book)."</f>
        <v>Software architecture : perspectives on an emerging discipline / Mary Shaw, David Garlan ; [foreword by Barry Boehm] ; : pbk.-- Prentice Hall; c1996.-- (An Alan R. Apt book).</v>
      </c>
      <c r="E379" s="11" t="str">
        <f>": pbk"</f>
        <v>: pbk</v>
      </c>
      <c r="F379" s="28" t="s">
        <v>8</v>
      </c>
      <c r="G379" s="29" t="str">
        <f>"007.63/SH"</f>
        <v>007.63/SH</v>
      </c>
      <c r="H379" s="10" t="str">
        <f>"1996/07/18"</f>
        <v>1996/07/18</v>
      </c>
      <c r="I379" s="12">
        <v>3976</v>
      </c>
      <c r="J379" s="12">
        <v>100</v>
      </c>
      <c r="K379" s="10" t="str">
        <f t="shared" si="23"/>
        <v>2  洋書</v>
      </c>
      <c r="L379" s="13"/>
    </row>
    <row r="380" spans="1:12" ht="24" x14ac:dyDescent="0.15">
      <c r="A380" s="36">
        <v>379</v>
      </c>
      <c r="B380" s="3" t="s">
        <v>16</v>
      </c>
      <c r="C380" s="10" t="str">
        <f>"0000492690"</f>
        <v>0000492690</v>
      </c>
      <c r="D380" s="11" t="str">
        <f>"Building UNIX System V software / Israel Silverberg.-- PTR Prentice Hall; c1994."</f>
        <v>Building UNIX System V software / Israel Silverberg.-- PTR Prentice Hall; c1994.</v>
      </c>
      <c r="E380" s="11" t="str">
        <f>""</f>
        <v/>
      </c>
      <c r="F380" s="28" t="s">
        <v>8</v>
      </c>
      <c r="G380" s="29" t="str">
        <f>"007.63/SI"</f>
        <v>007.63/SI</v>
      </c>
      <c r="H380" s="10" t="str">
        <f>"1994/10/25"</f>
        <v>1994/10/25</v>
      </c>
      <c r="I380" s="12">
        <v>1</v>
      </c>
      <c r="J380" s="12">
        <v>100</v>
      </c>
      <c r="K380" s="10" t="str">
        <f t="shared" si="23"/>
        <v>2  洋書</v>
      </c>
      <c r="L380" s="13"/>
    </row>
    <row r="381" spans="1:12" ht="36" x14ac:dyDescent="0.15">
      <c r="A381" s="36">
        <v>380</v>
      </c>
      <c r="B381" s="3" t="s">
        <v>16</v>
      </c>
      <c r="C381" s="10" t="str">
        <f>"0001265927"</f>
        <v>0001265927</v>
      </c>
      <c r="D381" s="11" t="str">
        <f>"Understanding object-oriented software engineering / Stefan Sigfried.-- IEEE Press.-- (IEEE Press understanding science &amp; technology series)."</f>
        <v>Understanding object-oriented software engineering / Stefan Sigfried.-- IEEE Press.-- (IEEE Press understanding science &amp; technology series).</v>
      </c>
      <c r="E381" s="11" t="str">
        <f>""</f>
        <v/>
      </c>
      <c r="F381" s="28" t="s">
        <v>8</v>
      </c>
      <c r="G381" s="29" t="str">
        <f>"007.63/SI"</f>
        <v>007.63/SI</v>
      </c>
      <c r="H381" s="10" t="str">
        <f>"1996/03/22"</f>
        <v>1996/03/22</v>
      </c>
      <c r="I381" s="12">
        <v>5812</v>
      </c>
      <c r="J381" s="12">
        <v>100</v>
      </c>
      <c r="K381" s="10" t="str">
        <f t="shared" si="23"/>
        <v>2  洋書</v>
      </c>
      <c r="L381" s="13"/>
    </row>
    <row r="382" spans="1:12" x14ac:dyDescent="0.15">
      <c r="A382" s="36">
        <v>381</v>
      </c>
      <c r="B382" s="3" t="s">
        <v>16</v>
      </c>
      <c r="C382" s="4" t="str">
        <f>"0001292534"</f>
        <v>0001292534</v>
      </c>
      <c r="D382" s="5" t="str">
        <f>"Software agents / edited by Jeffrey M. Bradshaw.-- AAAI Press; c1997."</f>
        <v>Software agents / edited by Jeffrey M. Bradshaw.-- AAAI Press; c1997.</v>
      </c>
      <c r="E382" s="5" t="str">
        <f>""</f>
        <v/>
      </c>
      <c r="F382" s="26"/>
      <c r="G382" s="27" t="str">
        <f>"007.63/SO"</f>
        <v>007.63/SO</v>
      </c>
      <c r="H382" s="4" t="str">
        <f>"1997/06/04"</f>
        <v>1997/06/04</v>
      </c>
      <c r="I382" s="6">
        <v>8618</v>
      </c>
      <c r="J382" s="6">
        <v>100</v>
      </c>
      <c r="K382" s="4" t="str">
        <f t="shared" si="23"/>
        <v>2  洋書</v>
      </c>
      <c r="L382" s="7"/>
    </row>
    <row r="383" spans="1:12" ht="48" x14ac:dyDescent="0.15">
      <c r="A383" s="36">
        <v>382</v>
      </c>
      <c r="B383" s="3" t="s">
        <v>16</v>
      </c>
      <c r="C383" s="10" t="str">
        <f>"0002289281"</f>
        <v>0002289281</v>
      </c>
      <c r="D383" s="11" t="str">
        <f>"Component software : beyond object-oriented programming / Clemens Szyperski with Dominik Gruntz and Stephan Murer.-- 2nd ed..-- ACM Press.-- (The component software series / Clemens Szperski, series editor)."</f>
        <v>Component software : beyond object-oriented programming / Clemens Szyperski with Dominik Gruntz and Stephan Murer.-- 2nd ed..-- ACM Press.-- (The component software series / Clemens Szperski, series editor).</v>
      </c>
      <c r="E383" s="11" t="str">
        <f>""</f>
        <v/>
      </c>
      <c r="F383" s="28" t="s">
        <v>8</v>
      </c>
      <c r="G383" s="29" t="str">
        <f>"007.63/SZ"</f>
        <v>007.63/SZ</v>
      </c>
      <c r="H383" s="10" t="str">
        <f>"2003/01/07"</f>
        <v>2003/01/07</v>
      </c>
      <c r="I383" s="12">
        <v>9714</v>
      </c>
      <c r="J383" s="12">
        <v>100</v>
      </c>
      <c r="K383" s="10" t="str">
        <f t="shared" si="23"/>
        <v>2  洋書</v>
      </c>
      <c r="L383" s="13"/>
    </row>
    <row r="384" spans="1:12" ht="24" x14ac:dyDescent="0.15">
      <c r="A384" s="36">
        <v>383</v>
      </c>
      <c r="B384" s="3" t="s">
        <v>16</v>
      </c>
      <c r="C384" s="10" t="str">
        <f>"0000505789"</f>
        <v>0000505789</v>
      </c>
      <c r="D384" s="11" t="str">
        <f>"Project Oberon : the design of an operating system and compiler / Niklaus Wirth, J◆U00FC◆rg Gutknecht.-- ACM Press."</f>
        <v>Project Oberon : the design of an operating system and compiler / Niklaus Wirth, J◆U00FC◆rg Gutknecht.-- ACM Press.</v>
      </c>
      <c r="E384" s="11" t="str">
        <f>""</f>
        <v/>
      </c>
      <c r="F384" s="28" t="s">
        <v>8</v>
      </c>
      <c r="G384" s="29" t="str">
        <f>"007.63/WI"</f>
        <v>007.63/WI</v>
      </c>
      <c r="H384" s="10" t="str">
        <f>"1994/12/06"</f>
        <v>1994/12/06</v>
      </c>
      <c r="I384" s="12">
        <v>7931</v>
      </c>
      <c r="J384" s="12">
        <v>100</v>
      </c>
      <c r="K384" s="10" t="str">
        <f t="shared" si="23"/>
        <v>2  洋書</v>
      </c>
      <c r="L384" s="13"/>
    </row>
    <row r="385" spans="1:12" ht="24" x14ac:dyDescent="0.15">
      <c r="A385" s="36">
        <v>384</v>
      </c>
      <c r="B385" s="3" t="s">
        <v>16</v>
      </c>
      <c r="C385" s="10" t="str">
        <f>"0000780315"</f>
        <v>0000780315</v>
      </c>
      <c r="D385" s="11" t="str">
        <f>"Project Oberon : the design of an operating system and compiler / Niklaus Wirth, J◆U00FC◆rg Gutknecht.-- ACM Press."</f>
        <v>Project Oberon : the design of an operating system and compiler / Niklaus Wirth, J◆U00FC◆rg Gutknecht.-- ACM Press.</v>
      </c>
      <c r="E385" s="11" t="str">
        <f>""</f>
        <v/>
      </c>
      <c r="F385" s="28" t="s">
        <v>8</v>
      </c>
      <c r="G385" s="29" t="str">
        <f>"007.63/WI"</f>
        <v>007.63/WI</v>
      </c>
      <c r="H385" s="10" t="str">
        <f>"1995/03/31"</f>
        <v>1995/03/31</v>
      </c>
      <c r="I385" s="12">
        <v>5949</v>
      </c>
      <c r="J385" s="12">
        <v>100</v>
      </c>
      <c r="K385" s="10" t="str">
        <f t="shared" si="23"/>
        <v>2  洋書</v>
      </c>
      <c r="L385" s="13"/>
    </row>
    <row r="386" spans="1:12" ht="24" x14ac:dyDescent="0.15">
      <c r="A386" s="36">
        <v>385</v>
      </c>
      <c r="B386" s="3" t="s">
        <v>16</v>
      </c>
      <c r="C386" s="4" t="str">
        <f>"0002266664"</f>
        <v>0002266664</v>
      </c>
      <c r="D386" s="5" t="str">
        <f>"C言語による画像処理入門 / 安居院猛, 長尾智晴共著.-- 昭晃堂; 2000.11."</f>
        <v>C言語による画像処理入門 / 安居院猛, 長尾智晴共著.-- 昭晃堂; 2000.11.</v>
      </c>
      <c r="E386" s="5" t="str">
        <f>""</f>
        <v/>
      </c>
      <c r="F386" s="26"/>
      <c r="G386" s="27" t="str">
        <f>"007.64/ｱｸﾞ"</f>
        <v>007.64/ｱｸﾞ</v>
      </c>
      <c r="H386" s="4" t="str">
        <f>"2001/05/08"</f>
        <v>2001/05/08</v>
      </c>
      <c r="I386" s="6">
        <v>2835</v>
      </c>
      <c r="J386" s="6">
        <v>100</v>
      </c>
      <c r="K386" s="4" t="str">
        <f t="shared" ref="K386:K419" si="24">"1  和書"</f>
        <v>1  和書</v>
      </c>
      <c r="L386" s="7"/>
    </row>
    <row r="387" spans="1:12" x14ac:dyDescent="0.15">
      <c r="A387" s="36">
        <v>386</v>
      </c>
      <c r="B387" s="3" t="s">
        <v>16</v>
      </c>
      <c r="C387" s="10" t="str">
        <f>"0001278026"</f>
        <v>0001278026</v>
      </c>
      <c r="D387" s="11" t="str">
        <f>"DOS/Vプログラミング・リファレンス / 芦達剛著.-- ソフトバンク; 1995.6."</f>
        <v>DOS/Vプログラミング・リファレンス / 芦達剛著.-- ソフトバンク; 1995.6.</v>
      </c>
      <c r="E387" s="11" t="str">
        <f>""</f>
        <v/>
      </c>
      <c r="F387" s="28" t="s">
        <v>8</v>
      </c>
      <c r="G387" s="29" t="str">
        <f>"007.64/ｱﾀﾞ"</f>
        <v>007.64/ｱﾀﾞ</v>
      </c>
      <c r="H387" s="10" t="str">
        <f>"1996/10/18"</f>
        <v>1996/10/18</v>
      </c>
      <c r="I387" s="12">
        <v>2880</v>
      </c>
      <c r="J387" s="12">
        <v>100</v>
      </c>
      <c r="K387" s="10" t="str">
        <f t="shared" si="24"/>
        <v>1  和書</v>
      </c>
      <c r="L387" s="13"/>
    </row>
    <row r="388" spans="1:12" ht="48" x14ac:dyDescent="0.15">
      <c r="A388" s="36">
        <v>387</v>
      </c>
      <c r="B388" s="3" t="s">
        <v>16</v>
      </c>
      <c r="C388" s="4" t="str">
        <f>"0002759593"</f>
        <v>0002759593</v>
      </c>
      <c r="D388" s="5" t="str">
        <f>"数学的基礎とデータ構造 / T.コルメン, C.ライザーソン, R.リベスト共著 ; 浅野哲夫 [ほか] 共訳.-- 近代科学社; 1995.12.-- (K404アルゴリズムイントロダクション / T.コルメン, C.ライザーソン, R.リベスト共著 ; 浅野哲夫 [ほか] 共訳 ; 第1巻)."</f>
        <v>数学的基礎とデータ構造 / T.コルメン, C.ライザーソン, R.リベスト共著 ; 浅野哲夫 [ほか] 共訳.-- 近代科学社; 1995.12.-- (K404アルゴリズムイントロダクション / T.コルメン, C.ライザーソン, R.リベスト共著 ; 浅野哲夫 [ほか] 共訳 ; 第1巻).</v>
      </c>
      <c r="E388" s="5" t="str">
        <f>""</f>
        <v/>
      </c>
      <c r="F388" s="26"/>
      <c r="G388" s="27" t="str">
        <f>"007.64/ｱﾙ/1"</f>
        <v>007.64/ｱﾙ/1</v>
      </c>
      <c r="H388" s="4" t="str">
        <f>"2005/01/20"</f>
        <v>2005/01/20</v>
      </c>
      <c r="I388" s="6">
        <v>3402</v>
      </c>
      <c r="J388" s="6">
        <v>100</v>
      </c>
      <c r="K388" s="4" t="str">
        <f t="shared" si="24"/>
        <v>1  和書</v>
      </c>
      <c r="L388" s="7" t="s">
        <v>19</v>
      </c>
    </row>
    <row r="389" spans="1:12" ht="48" x14ac:dyDescent="0.15">
      <c r="A389" s="36">
        <v>388</v>
      </c>
      <c r="B389" s="3" t="s">
        <v>16</v>
      </c>
      <c r="C389" s="4" t="str">
        <f>"0002759111"</f>
        <v>0002759111</v>
      </c>
      <c r="D389" s="5" t="str">
        <f>"アルゴリズムの設計と解析手法 / T.コルメン, C.ライザーソン, R.リベスト共著 ; 浅野哲夫 [ほか] 共訳.-- 近代科学社; 1995.12.-- (アルゴリズムイントロダクション / T.コルメン, C.ライザーソン, R.リベスト共著 ; 浅野哲夫 [ほか] 共訳 ; 第2巻)."</f>
        <v>アルゴリズムの設計と解析手法 / T.コルメン, C.ライザーソン, R.リベスト共著 ; 浅野哲夫 [ほか] 共訳.-- 近代科学社; 1995.12.-- (アルゴリズムイントロダクション / T.コルメン, C.ライザーソン, R.リベスト共著 ; 浅野哲夫 [ほか] 共訳 ; 第2巻).</v>
      </c>
      <c r="E389" s="5" t="str">
        <f>""</f>
        <v/>
      </c>
      <c r="F389" s="26"/>
      <c r="G389" s="27" t="str">
        <f>"007.64/ｱﾙ/2"</f>
        <v>007.64/ｱﾙ/2</v>
      </c>
      <c r="H389" s="4" t="str">
        <f>"2005/01/05"</f>
        <v>2005/01/05</v>
      </c>
      <c r="I389" s="6">
        <v>3402</v>
      </c>
      <c r="J389" s="6">
        <v>100</v>
      </c>
      <c r="K389" s="4" t="str">
        <f t="shared" si="24"/>
        <v>1  和書</v>
      </c>
      <c r="L389" s="7" t="s">
        <v>19</v>
      </c>
    </row>
    <row r="390" spans="1:12" ht="36" x14ac:dyDescent="0.15">
      <c r="A390" s="36">
        <v>389</v>
      </c>
      <c r="B390" s="3" t="s">
        <v>16</v>
      </c>
      <c r="C390" s="4" t="str">
        <f>"0002759128"</f>
        <v>0002759128</v>
      </c>
      <c r="D390" s="5" t="str">
        <f>"精選トピックス / T.コルメン, C.ライザーソン, R.リベスト共著 ; 浅野哲夫 [ほか] 共訳.-- 近代科学社; 1995.12.-- (アルゴリズムイントロダクション / T.コルメン, C.ライザーソン, R.リベスト共著 ; 浅野哲夫 [ほか] 共訳 ; 第3巻)."</f>
        <v>精選トピックス / T.コルメン, C.ライザーソン, R.リベスト共著 ; 浅野哲夫 [ほか] 共訳.-- 近代科学社; 1995.12.-- (アルゴリズムイントロダクション / T.コルメン, C.ライザーソン, R.リベスト共著 ; 浅野哲夫 [ほか] 共訳 ; 第3巻).</v>
      </c>
      <c r="E390" s="5" t="str">
        <f>""</f>
        <v/>
      </c>
      <c r="F390" s="26"/>
      <c r="G390" s="27" t="str">
        <f>"007.64/ｱﾙ/3"</f>
        <v>007.64/ｱﾙ/3</v>
      </c>
      <c r="H390" s="4" t="str">
        <f>"2005/01/05"</f>
        <v>2005/01/05</v>
      </c>
      <c r="I390" s="6">
        <v>3685</v>
      </c>
      <c r="J390" s="6">
        <v>100</v>
      </c>
      <c r="K390" s="4" t="str">
        <f t="shared" si="24"/>
        <v>1  和書</v>
      </c>
      <c r="L390" s="7" t="s">
        <v>19</v>
      </c>
    </row>
    <row r="391" spans="1:12" ht="24" x14ac:dyDescent="0.15">
      <c r="A391" s="36">
        <v>390</v>
      </c>
      <c r="B391" s="3" t="s">
        <v>16</v>
      </c>
      <c r="C391" s="10" t="str">
        <f>"0002256221"</f>
        <v>0002256221</v>
      </c>
      <c r="D391" s="11" t="str">
        <f>"SwingによるJava GUIプログラミング / 大村忠史著 ; [1], 2, 3.-- カットシステム; 1998.6-."</f>
        <v>SwingによるJava GUIプログラミング / 大村忠史著 ; [1], 2, 3.-- カットシステム; 1998.6-.</v>
      </c>
      <c r="E391" s="11" t="str">
        <f>"[1]"</f>
        <v>[1]</v>
      </c>
      <c r="F391" s="28" t="s">
        <v>8</v>
      </c>
      <c r="G391" s="29" t="str">
        <f>"007.64/ｵｵ/1"</f>
        <v>007.64/ｵｵ/1</v>
      </c>
      <c r="H391" s="10" t="str">
        <f>"2000/06/30"</f>
        <v>2000/06/30</v>
      </c>
      <c r="I391" s="12">
        <v>3402</v>
      </c>
      <c r="J391" s="12">
        <v>100</v>
      </c>
      <c r="K391" s="10" t="str">
        <f t="shared" si="24"/>
        <v>1  和書</v>
      </c>
      <c r="L391" s="13"/>
    </row>
    <row r="392" spans="1:12" ht="24" x14ac:dyDescent="0.15">
      <c r="A392" s="36">
        <v>391</v>
      </c>
      <c r="B392" s="3" t="s">
        <v>16</v>
      </c>
      <c r="C392" s="10" t="str">
        <f>"0002255699"</f>
        <v>0002255699</v>
      </c>
      <c r="D392" s="11" t="str">
        <f>"SwingによるJava GUIプログラミング / 大村忠史著 ; [1], 2, 3.-- カットシステム; 1998.6-."</f>
        <v>SwingによるJava GUIプログラミング / 大村忠史著 ; [1], 2, 3.-- カットシステム; 1998.6-.</v>
      </c>
      <c r="E392" s="11" t="str">
        <f>"2"</f>
        <v>2</v>
      </c>
      <c r="F392" s="28" t="s">
        <v>8</v>
      </c>
      <c r="G392" s="29" t="str">
        <f>"007.64/ｵｵ/2"</f>
        <v>007.64/ｵｵ/2</v>
      </c>
      <c r="H392" s="10" t="str">
        <f>"2000/06/16"</f>
        <v>2000/06/16</v>
      </c>
      <c r="I392" s="12">
        <v>3024</v>
      </c>
      <c r="J392" s="12">
        <v>100</v>
      </c>
      <c r="K392" s="10" t="str">
        <f t="shared" si="24"/>
        <v>1  和書</v>
      </c>
      <c r="L392" s="13"/>
    </row>
    <row r="393" spans="1:12" ht="24" x14ac:dyDescent="0.15">
      <c r="A393" s="36">
        <v>392</v>
      </c>
      <c r="B393" s="3" t="s">
        <v>16</v>
      </c>
      <c r="C393" s="10" t="str">
        <f>"0001279115"</f>
        <v>0001279115</v>
      </c>
      <c r="D393" s="11" t="str">
        <f>"はじめて読む8086 : 16ビット・コンピュータをやさしく語る / 蒲地輝尚著.-- アスキー; 1987.4.-- (アスキーブックス)."</f>
        <v>はじめて読む8086 : 16ビット・コンピュータをやさしく語る / 蒲地輝尚著.-- アスキー; 1987.4.-- (アスキーブックス).</v>
      </c>
      <c r="E393" s="11" t="str">
        <f>""</f>
        <v/>
      </c>
      <c r="F393" s="28" t="s">
        <v>8</v>
      </c>
      <c r="G393" s="29" t="str">
        <f>"007.64/ｶﾏ"</f>
        <v>007.64/ｶﾏ</v>
      </c>
      <c r="H393" s="10" t="str">
        <f>"1996/11/01"</f>
        <v>1996/11/01</v>
      </c>
      <c r="I393" s="12">
        <v>1485</v>
      </c>
      <c r="J393" s="12">
        <v>100</v>
      </c>
      <c r="K393" s="10" t="str">
        <f t="shared" si="24"/>
        <v>1  和書</v>
      </c>
      <c r="L393" s="13"/>
    </row>
    <row r="394" spans="1:12" ht="24" x14ac:dyDescent="0.15">
      <c r="A394" s="36">
        <v>393</v>
      </c>
      <c r="B394" s="3" t="s">
        <v>16</v>
      </c>
      <c r="C394" s="10" t="str">
        <f>"0001279191"</f>
        <v>0001279191</v>
      </c>
      <c r="D394" s="11" t="str">
        <f>"はじめて読む8086 : 16ビット・コンピュータをやさしく語る / 蒲地輝尚著.-- アスキー; 1987.4.-- (アスキーブックス)."</f>
        <v>はじめて読む8086 : 16ビット・コンピュータをやさしく語る / 蒲地輝尚著.-- アスキー; 1987.4.-- (アスキーブックス).</v>
      </c>
      <c r="E394" s="11" t="str">
        <f>""</f>
        <v/>
      </c>
      <c r="F394" s="28" t="s">
        <v>8</v>
      </c>
      <c r="G394" s="29" t="str">
        <f>"007.64/ｶﾏ"</f>
        <v>007.64/ｶﾏ</v>
      </c>
      <c r="H394" s="10" t="str">
        <f>"1996/11/10"</f>
        <v>1996/11/10</v>
      </c>
      <c r="I394" s="12">
        <v>1485</v>
      </c>
      <c r="J394" s="12">
        <v>100</v>
      </c>
      <c r="K394" s="10" t="str">
        <f t="shared" si="24"/>
        <v>1  和書</v>
      </c>
      <c r="L394" s="13"/>
    </row>
    <row r="395" spans="1:12" ht="24" x14ac:dyDescent="0.15">
      <c r="A395" s="36">
        <v>394</v>
      </c>
      <c r="B395" s="3" t="s">
        <v>16</v>
      </c>
      <c r="C395" s="4" t="str">
        <f>"0000879026"</f>
        <v>0000879026</v>
      </c>
      <c r="D395" s="5" t="str">
        <f>"Prologプログラミング / W.F.Clocksin, C.S.Mellish著 ; 中村克彦訳.-- 改訂第3版.-- マイクロソフトウェア; 1988.9."</f>
        <v>Prologプログラミング / W.F.Clocksin, C.S.Mellish著 ; 中村克彦訳.-- 改訂第3版.-- マイクロソフトウェア; 1988.9.</v>
      </c>
      <c r="E395" s="5" t="str">
        <f>""</f>
        <v/>
      </c>
      <c r="F395" s="26"/>
      <c r="G395" s="27" t="str">
        <f>"007.64/ｸﾛ"</f>
        <v>007.64/ｸﾛ</v>
      </c>
      <c r="H395" s="4" t="str">
        <f>"1995/11/02"</f>
        <v>1995/11/02</v>
      </c>
      <c r="I395" s="6">
        <v>5562</v>
      </c>
      <c r="J395" s="6">
        <v>100</v>
      </c>
      <c r="K395" s="4" t="str">
        <f t="shared" si="24"/>
        <v>1  和書</v>
      </c>
      <c r="L395" s="7"/>
    </row>
    <row r="396" spans="1:12" ht="24" x14ac:dyDescent="0.15">
      <c r="A396" s="36">
        <v>395</v>
      </c>
      <c r="B396" s="3" t="s">
        <v>16</v>
      </c>
      <c r="C396" s="4" t="str">
        <f>"0002762401"</f>
        <v>0002762401</v>
      </c>
      <c r="D396" s="5" t="str">
        <f>"新Perlの国へようこそ : Perl5対応版 / 斎藤靖 [ほか] 共著.-- サイエンス社; 1996.4.-- (Computer today ライブラリ ; 34)."</f>
        <v>新Perlの国へようこそ : Perl5対応版 / 斎藤靖 [ほか] 共著.-- サイエンス社; 1996.4.-- (Computer today ライブラリ ; 34).</v>
      </c>
      <c r="E396" s="5" t="str">
        <f>""</f>
        <v/>
      </c>
      <c r="F396" s="26"/>
      <c r="G396" s="27" t="str">
        <f>"007.64/ｻｲ"</f>
        <v>007.64/ｻｲ</v>
      </c>
      <c r="H396" s="4" t="str">
        <f>"2005/09/29"</f>
        <v>2005/09/29</v>
      </c>
      <c r="I396" s="6">
        <v>2835</v>
      </c>
      <c r="J396" s="6">
        <v>100</v>
      </c>
      <c r="K396" s="4" t="str">
        <f t="shared" si="24"/>
        <v>1  和書</v>
      </c>
      <c r="L396" s="7"/>
    </row>
    <row r="397" spans="1:12" ht="24" x14ac:dyDescent="0.15">
      <c r="A397" s="36">
        <v>396</v>
      </c>
      <c r="B397" s="3" t="s">
        <v>16</v>
      </c>
      <c r="C397" s="4" t="str">
        <f>"0002762418"</f>
        <v>0002762418</v>
      </c>
      <c r="D397" s="5" t="str">
        <f>"新Perlの国へようこそ : Perl5対応版 / 斎藤靖 [ほか] 共著.-- サイエンス社; 1996.4.-- (Computer today ライブラリ ; 34)."</f>
        <v>新Perlの国へようこそ : Perl5対応版 / 斎藤靖 [ほか] 共著.-- サイエンス社; 1996.4.-- (Computer today ライブラリ ; 34).</v>
      </c>
      <c r="E397" s="5" t="str">
        <f>""</f>
        <v/>
      </c>
      <c r="F397" s="26"/>
      <c r="G397" s="27" t="str">
        <f>"007.64/ｻｲ"</f>
        <v>007.64/ｻｲ</v>
      </c>
      <c r="H397" s="4" t="str">
        <f>"2005/09/29"</f>
        <v>2005/09/29</v>
      </c>
      <c r="I397" s="6">
        <v>2835</v>
      </c>
      <c r="J397" s="6">
        <v>100</v>
      </c>
      <c r="K397" s="4" t="str">
        <f t="shared" si="24"/>
        <v>1  和書</v>
      </c>
      <c r="L397" s="7"/>
    </row>
    <row r="398" spans="1:12" ht="24" x14ac:dyDescent="0.15">
      <c r="A398" s="36">
        <v>397</v>
      </c>
      <c r="B398" s="3" t="s">
        <v>16</v>
      </c>
      <c r="C398" s="10" t="str">
        <f>"0000580649"</f>
        <v>0000580649</v>
      </c>
      <c r="D398" s="11" t="str">
        <f>"yacc/lex : プログラムジェネレータ on UNIX / 五月女健治著.-- 啓学出版; 1992.7."</f>
        <v>yacc/lex : プログラムジェネレータ on UNIX / 五月女健治著.-- 啓学出版; 1992.7.</v>
      </c>
      <c r="E398" s="11" t="str">
        <f>""</f>
        <v/>
      </c>
      <c r="F398" s="28" t="s">
        <v>8</v>
      </c>
      <c r="G398" s="29" t="str">
        <f>"007.64/ｻｵ"</f>
        <v>007.64/ｻｵ</v>
      </c>
      <c r="H398" s="10" t="str">
        <f>"1995/03/31"</f>
        <v>1995/03/31</v>
      </c>
      <c r="I398" s="12">
        <v>2276</v>
      </c>
      <c r="J398" s="12">
        <v>100</v>
      </c>
      <c r="K398" s="10" t="str">
        <f t="shared" si="24"/>
        <v>1  和書</v>
      </c>
      <c r="L398" s="13"/>
    </row>
    <row r="399" spans="1:12" ht="36" x14ac:dyDescent="0.15">
      <c r="A399" s="36">
        <v>398</v>
      </c>
      <c r="B399" s="3" t="s">
        <v>16</v>
      </c>
      <c r="C399" s="10" t="str">
        <f>"0001674439"</f>
        <v>0001674439</v>
      </c>
      <c r="D399" s="11" t="str">
        <f>"Java APIスーパーバイブル / Daniel Groner[ほか]著 ; スリーエーシステムズ訳 ; 1 : 標準クラスライブラリ編, 2 : ネットワーキング,AWT編.-- 翔泳社; 1997.9-1997.10.-- (Programmer's selection)."</f>
        <v>Java APIスーパーバイブル / Daniel Groner[ほか]著 ; スリーエーシステムズ訳 ; 1 : 標準クラスライブラリ編, 2 : ネットワーキング,AWT編.-- 翔泳社; 1997.9-1997.10.-- (Programmer's selection).</v>
      </c>
      <c r="E399" s="11" t="str">
        <f>"1 : 標準クラスライブラリ編"</f>
        <v>1 : 標準クラスライブラリ編</v>
      </c>
      <c r="F399" s="28" t="s">
        <v>8</v>
      </c>
      <c r="G399" s="29" t="str">
        <f>"007.64/ｼﾞﾔ/1"</f>
        <v>007.64/ｼﾞﾔ/1</v>
      </c>
      <c r="H399" s="10" t="str">
        <f>"1998/06/22"</f>
        <v>1998/06/22</v>
      </c>
      <c r="I399" s="12">
        <v>6804</v>
      </c>
      <c r="J399" s="12">
        <v>100</v>
      </c>
      <c r="K399" s="10" t="str">
        <f t="shared" si="24"/>
        <v>1  和書</v>
      </c>
      <c r="L399" s="13"/>
    </row>
    <row r="400" spans="1:12" ht="36" x14ac:dyDescent="0.15">
      <c r="A400" s="36">
        <v>399</v>
      </c>
      <c r="B400" s="3" t="s">
        <v>16</v>
      </c>
      <c r="C400" s="10" t="str">
        <f>"0001674446"</f>
        <v>0001674446</v>
      </c>
      <c r="D400" s="11" t="str">
        <f>"Java APIスーパーバイブル / Daniel Groner[ほか]著 ; スリーエーシステムズ訳 ; 1 : 標準クラスライブラリ編, 2 : ネットワーキング,AWT編.-- 翔泳社; 1997.9-1997.10.-- (Programmer's selection)."</f>
        <v>Java APIスーパーバイブル / Daniel Groner[ほか]著 ; スリーエーシステムズ訳 ; 1 : 標準クラスライブラリ編, 2 : ネットワーキング,AWT編.-- 翔泳社; 1997.9-1997.10.-- (Programmer's selection).</v>
      </c>
      <c r="E400" s="11" t="str">
        <f>"2 : ネットワーキング,AWT編"</f>
        <v>2 : ネットワーキング,AWT編</v>
      </c>
      <c r="F400" s="28" t="s">
        <v>8</v>
      </c>
      <c r="G400" s="29" t="str">
        <f>"007.64/ｼﾞﾔ/2"</f>
        <v>007.64/ｼﾞﾔ/2</v>
      </c>
      <c r="H400" s="10" t="str">
        <f>"1998/06/22"</f>
        <v>1998/06/22</v>
      </c>
      <c r="I400" s="12">
        <v>7560</v>
      </c>
      <c r="J400" s="12">
        <v>100</v>
      </c>
      <c r="K400" s="10" t="str">
        <f t="shared" si="24"/>
        <v>1  和書</v>
      </c>
      <c r="L400" s="13"/>
    </row>
    <row r="401" spans="1:12" ht="24" x14ac:dyDescent="0.15">
      <c r="A401" s="36">
        <v>400</v>
      </c>
      <c r="B401" s="3" t="s">
        <v>16</v>
      </c>
      <c r="C401" s="4" t="str">
        <f>"0001293630"</f>
        <v>0001293630</v>
      </c>
      <c r="D401" s="5" t="str">
        <f>"アルゴリズムC++ / R. セジウィック著 ; 野下浩平 [ほか] 共訳.-- 近代科学社; 1994.7."</f>
        <v>アルゴリズムC++ / R. セジウィック著 ; 野下浩平 [ほか] 共訳.-- 近代科学社; 1994.7.</v>
      </c>
      <c r="E401" s="5" t="str">
        <f>""</f>
        <v/>
      </c>
      <c r="F401" s="26"/>
      <c r="G401" s="27" t="str">
        <f>"007.64/ｾｼﾞ"</f>
        <v>007.64/ｾｼﾞ</v>
      </c>
      <c r="H401" s="4" t="str">
        <f>"1997/06/14"</f>
        <v>1997/06/14</v>
      </c>
      <c r="I401" s="6">
        <v>7182</v>
      </c>
      <c r="J401" s="6">
        <v>100</v>
      </c>
      <c r="K401" s="4" t="str">
        <f t="shared" si="24"/>
        <v>1  和書</v>
      </c>
      <c r="L401" s="7"/>
    </row>
    <row r="402" spans="1:12" ht="24" x14ac:dyDescent="0.15">
      <c r="A402" s="36">
        <v>401</v>
      </c>
      <c r="B402" s="3" t="s">
        <v>16</v>
      </c>
      <c r="C402" s="10" t="str">
        <f>"0001696738"</f>
        <v>0001696738</v>
      </c>
      <c r="D402" s="11" t="str">
        <f>"GTK+ (Gimp toolkit plus) ではじめるXプログラミング / 竹田英二著.-- 技術評論社; 1999.6."</f>
        <v>GTK+ (Gimp toolkit plus) ではじめるXプログラミング / 竹田英二著.-- 技術評論社; 1999.6.</v>
      </c>
      <c r="E402" s="11" t="str">
        <f>""</f>
        <v/>
      </c>
      <c r="F402" s="28" t="s">
        <v>8</v>
      </c>
      <c r="G402" s="29" t="str">
        <f>"007.64/ﾀｹ"</f>
        <v>007.64/ﾀｹ</v>
      </c>
      <c r="H402" s="10" t="str">
        <f>"1999/08/26"</f>
        <v>1999/08/26</v>
      </c>
      <c r="I402" s="12">
        <v>2627</v>
      </c>
      <c r="J402" s="12">
        <v>100</v>
      </c>
      <c r="K402" s="10" t="str">
        <f t="shared" si="24"/>
        <v>1  和書</v>
      </c>
      <c r="L402" s="13"/>
    </row>
    <row r="403" spans="1:12" ht="36" x14ac:dyDescent="0.15">
      <c r="A403" s="36">
        <v>402</v>
      </c>
      <c r="B403" s="3" t="s">
        <v>16</v>
      </c>
      <c r="C403" s="10" t="str">
        <f>"0002758343"</f>
        <v>0002758343</v>
      </c>
      <c r="D403" s="11" t="str">
        <f>"C++Builder6コンポーネント活用ガイド&amp;実践プログラミング / 田中和明, 手塚忠則共著 ; Vol.1: 基本コンポーネント編 - Vol.8: OpenGLプログラミング編.-- カットシステム; 2002.9-."</f>
        <v>C++Builder6コンポーネント活用ガイド&amp;実践プログラミング / 田中和明, 手塚忠則共著 ; Vol.1: 基本コンポーネント編 - Vol.8: OpenGLプログラミング編.-- カットシステム; 2002.9-.</v>
      </c>
      <c r="E403" s="11" t="str">
        <f>"Vol.1: 基本コンポーネント編"</f>
        <v>Vol.1: 基本コンポーネント編</v>
      </c>
      <c r="F403" s="28" t="s">
        <v>8</v>
      </c>
      <c r="G403" s="29" t="str">
        <f>"007.64/ﾀﾅ/1"</f>
        <v>007.64/ﾀﾅ/1</v>
      </c>
      <c r="H403" s="10" t="str">
        <f>"2004/11/26"</f>
        <v>2004/11/26</v>
      </c>
      <c r="I403" s="12">
        <v>4347</v>
      </c>
      <c r="J403" s="12">
        <v>100</v>
      </c>
      <c r="K403" s="10" t="str">
        <f t="shared" si="24"/>
        <v>1  和書</v>
      </c>
      <c r="L403" s="13"/>
    </row>
    <row r="404" spans="1:12" ht="36" x14ac:dyDescent="0.15">
      <c r="A404" s="36">
        <v>403</v>
      </c>
      <c r="B404" s="3" t="s">
        <v>16</v>
      </c>
      <c r="C404" s="10" t="str">
        <f>"0002758244"</f>
        <v>0002758244</v>
      </c>
      <c r="D404" s="11" t="str">
        <f>"C++Builder6コンポーネント活用ガイド&amp;実践プログラミング / 田中和明, 手塚忠則共著 ; Vol.1: 基本コンポーネント編 - Vol.8: OpenGLプログラミング編.-- カットシステム; 2002.9-."</f>
        <v>C++Builder6コンポーネント活用ガイド&amp;実践プログラミング / 田中和明, 手塚忠則共著 ; Vol.1: 基本コンポーネント編 - Vol.8: OpenGLプログラミング編.-- カットシステム; 2002.9-.</v>
      </c>
      <c r="E404" s="11" t="str">
        <f>"Vol.2: 実践テクニック編"</f>
        <v>Vol.2: 実践テクニック編</v>
      </c>
      <c r="F404" s="28" t="s">
        <v>8</v>
      </c>
      <c r="G404" s="29" t="str">
        <f>"007.64/ﾀﾅ/2"</f>
        <v>007.64/ﾀﾅ/2</v>
      </c>
      <c r="H404" s="10" t="str">
        <f>"2004/11/22"</f>
        <v>2004/11/22</v>
      </c>
      <c r="I404" s="12">
        <v>2835</v>
      </c>
      <c r="J404" s="12">
        <v>100</v>
      </c>
      <c r="K404" s="10" t="str">
        <f t="shared" si="24"/>
        <v>1  和書</v>
      </c>
      <c r="L404" s="13"/>
    </row>
    <row r="405" spans="1:12" ht="24" x14ac:dyDescent="0.15">
      <c r="A405" s="36">
        <v>404</v>
      </c>
      <c r="B405" s="3" t="s">
        <v>16</v>
      </c>
      <c r="C405" s="4" t="str">
        <f>"0001293647"</f>
        <v>0001293647</v>
      </c>
      <c r="D405" s="5" t="str">
        <f>"Cアルゴリズム全科 : 基礎からグラフィクスまで / 千葉則茂 [ほか] 著.-- 近代科学社; 1995.6."</f>
        <v>Cアルゴリズム全科 : 基礎からグラフィクスまで / 千葉則茂 [ほか] 著.-- 近代科学社; 1995.6.</v>
      </c>
      <c r="E405" s="5" t="str">
        <f>""</f>
        <v/>
      </c>
      <c r="F405" s="26"/>
      <c r="G405" s="27" t="str">
        <f>"007.64/ﾁﾊﾞ"</f>
        <v>007.64/ﾁﾊﾞ</v>
      </c>
      <c r="H405" s="4" t="str">
        <f>"1997/06/14"</f>
        <v>1997/06/14</v>
      </c>
      <c r="I405" s="6">
        <v>3307</v>
      </c>
      <c r="J405" s="6">
        <v>100</v>
      </c>
      <c r="K405" s="4" t="str">
        <f t="shared" si="24"/>
        <v>1  和書</v>
      </c>
      <c r="L405" s="7"/>
    </row>
    <row r="406" spans="1:12" ht="36" x14ac:dyDescent="0.15">
      <c r="A406" s="36">
        <v>405</v>
      </c>
      <c r="B406" s="3" t="s">
        <v>16</v>
      </c>
      <c r="C406" s="4" t="str">
        <f>"0002771540"</f>
        <v>0002771540</v>
      </c>
      <c r="D406" s="5" t="str">
        <f>"オンラインアルゴリズムとストリームアルゴリズム / 徳山豪著.-- 共立出版; 2007.8.-- (アルゴリズム・サイエンスシリーズ / 杉原厚吉 [ほか] 編 ; 5 ; 数理技法編)."</f>
        <v>オンラインアルゴリズムとストリームアルゴリズム / 徳山豪著.-- 共立出版; 2007.8.-- (アルゴリズム・サイエンスシリーズ / 杉原厚吉 [ほか] 編 ; 5 ; 数理技法編).</v>
      </c>
      <c r="E406" s="5" t="str">
        <f>""</f>
        <v/>
      </c>
      <c r="F406" s="26"/>
      <c r="G406" s="27" t="str">
        <f>"007.64/ﾄｸ"</f>
        <v>007.64/ﾄｸ</v>
      </c>
      <c r="H406" s="4" t="str">
        <f>"2007/10/12"</f>
        <v>2007/10/12</v>
      </c>
      <c r="I406" s="6">
        <v>2835</v>
      </c>
      <c r="J406" s="6">
        <v>100</v>
      </c>
      <c r="K406" s="4" t="str">
        <f t="shared" si="24"/>
        <v>1  和書</v>
      </c>
      <c r="L406" s="7"/>
    </row>
    <row r="407" spans="1:12" ht="48" x14ac:dyDescent="0.15">
      <c r="A407" s="36">
        <v>406</v>
      </c>
      <c r="B407" s="3" t="s">
        <v>16</v>
      </c>
      <c r="C407" s="10" t="str">
        <f>"0001278040"</f>
        <v>0001278040</v>
      </c>
      <c r="D407" s="11" t="str">
        <f>"DOS/VとC言語 / 服部昌博著 ; マウス・タイマ・キーボード・プリンタ編.-- 工学図書; 1994.3."</f>
        <v>DOS/VとC言語 / 服部昌博著 ; マウス・タイマ・キーボード・プリンタ編.-- 工学図書; 1994.3.</v>
      </c>
      <c r="E407" s="11" t="str">
        <f>"マウス・タイマ・キーボード・プリンタ編"</f>
        <v>マウス・タイマ・キーボード・プリンタ編</v>
      </c>
      <c r="F407" s="28" t="s">
        <v>8</v>
      </c>
      <c r="G407" s="29" t="str">
        <f>"007.64/ﾊﾂ"</f>
        <v>007.64/ﾊﾂ</v>
      </c>
      <c r="H407" s="10" t="str">
        <f>"1996/10/18"</f>
        <v>1996/10/18</v>
      </c>
      <c r="I407" s="12">
        <v>2430</v>
      </c>
      <c r="J407" s="12">
        <v>100</v>
      </c>
      <c r="K407" s="10" t="str">
        <f t="shared" si="24"/>
        <v>1  和書</v>
      </c>
      <c r="L407" s="13"/>
    </row>
    <row r="408" spans="1:12" ht="24" x14ac:dyDescent="0.15">
      <c r="A408" s="36">
        <v>407</v>
      </c>
      <c r="B408" s="3" t="s">
        <v>16</v>
      </c>
      <c r="C408" s="10" t="str">
        <f>"0001278057"</f>
        <v>0001278057</v>
      </c>
      <c r="D408" s="11" t="str">
        <f>"DOS/V・BIOSとC言語 : ディスプレイ・ディスク入出力・ASYNC入出力編 / 服部昌博著.-- 工学図書; 1995.3."</f>
        <v>DOS/V・BIOSとC言語 : ディスプレイ・ディスク入出力・ASYNC入出力編 / 服部昌博著.-- 工学図書; 1995.3.</v>
      </c>
      <c r="E408" s="11" t="str">
        <f>""</f>
        <v/>
      </c>
      <c r="F408" s="28" t="s">
        <v>8</v>
      </c>
      <c r="G408" s="29" t="str">
        <f>"007.64/ﾊﾂ"</f>
        <v>007.64/ﾊﾂ</v>
      </c>
      <c r="H408" s="10" t="str">
        <f>"1996/10/18"</f>
        <v>1996/10/18</v>
      </c>
      <c r="I408" s="12">
        <v>2070</v>
      </c>
      <c r="J408" s="12">
        <v>100</v>
      </c>
      <c r="K408" s="10" t="str">
        <f t="shared" si="24"/>
        <v>1  和書</v>
      </c>
      <c r="L408" s="13"/>
    </row>
    <row r="409" spans="1:12" ht="24" x14ac:dyDescent="0.15">
      <c r="A409" s="36">
        <v>408</v>
      </c>
      <c r="B409" s="3" t="s">
        <v>16</v>
      </c>
      <c r="C409" s="4" t="str">
        <f>"0002778471"</f>
        <v>0002778471</v>
      </c>
      <c r="D409" s="5" t="str">
        <f>"新Java言語入門 / 林晴比古著 ; ビギナー編, シニア編.-- 改訂.-- ソフトバンクパブリッシング; 2004.12-.-- (Java言語実用マスターシリーズ ; 1-2)."</f>
        <v>新Java言語入門 / 林晴比古著 ; ビギナー編, シニア編.-- 改訂.-- ソフトバンクパブリッシング; 2004.12-.-- (Java言語実用マスターシリーズ ; 1-2).</v>
      </c>
      <c r="E409" s="5" t="str">
        <f>"ビギナー編"</f>
        <v>ビギナー編</v>
      </c>
      <c r="F409" s="26"/>
      <c r="G409" s="27" t="str">
        <f>"007.64/ﾊﾔ/1"</f>
        <v>007.64/ﾊﾔ/1</v>
      </c>
      <c r="H409" s="4" t="str">
        <f>"2008/11/25"</f>
        <v>2008/11/25</v>
      </c>
      <c r="I409" s="6">
        <v>2457</v>
      </c>
      <c r="J409" s="6">
        <v>100</v>
      </c>
      <c r="K409" s="4" t="str">
        <f t="shared" si="24"/>
        <v>1  和書</v>
      </c>
      <c r="L409" s="7"/>
    </row>
    <row r="410" spans="1:12" ht="24" x14ac:dyDescent="0.15">
      <c r="A410" s="36">
        <v>409</v>
      </c>
      <c r="B410" s="3" t="s">
        <v>16</v>
      </c>
      <c r="C410" s="10" t="str">
        <f>"0002255477"</f>
        <v>0002255477</v>
      </c>
      <c r="D410" s="11" t="str">
        <f>"速習Java Swingプログラミング / Satyaraj Pantham著 ; 岩谷宏訳.-- ソフトバンクパブリッシング; 1999.8."</f>
        <v>速習Java Swingプログラミング / Satyaraj Pantham著 ; 岩谷宏訳.-- ソフトバンクパブリッシング; 1999.8.</v>
      </c>
      <c r="E410" s="11" t="str">
        <f>""</f>
        <v/>
      </c>
      <c r="F410" s="28" t="s">
        <v>8</v>
      </c>
      <c r="G410" s="29" t="str">
        <f>"007.64/ﾊﾟﾝ"</f>
        <v>007.64/ﾊﾟﾝ</v>
      </c>
      <c r="H410" s="10" t="str">
        <f>"2000/06/05"</f>
        <v>2000/06/05</v>
      </c>
      <c r="I410" s="12">
        <v>3402</v>
      </c>
      <c r="J410" s="12">
        <v>100</v>
      </c>
      <c r="K410" s="10" t="str">
        <f t="shared" si="24"/>
        <v>1  和書</v>
      </c>
      <c r="L410" s="13"/>
    </row>
    <row r="411" spans="1:12" ht="24" x14ac:dyDescent="0.15">
      <c r="A411" s="36">
        <v>410</v>
      </c>
      <c r="B411" s="3" t="s">
        <v>16</v>
      </c>
      <c r="C411" s="4" t="str">
        <f>"0003250464"</f>
        <v>0003250464</v>
      </c>
      <c r="D411" s="5" t="str">
        <f>"C言語ポインタ完全制覇 / 前橋和弥著.-- 技術評論社; 2001.1.-- (標準プログラマーズライブラリ)."</f>
        <v>C言語ポインタ完全制覇 / 前橋和弥著.-- 技術評論社; 2001.1.-- (標準プログラマーズライブラリ).</v>
      </c>
      <c r="E411" s="5" t="str">
        <f>""</f>
        <v/>
      </c>
      <c r="F411" s="26"/>
      <c r="G411" s="27" t="str">
        <f>"007.64/ﾏｴ"</f>
        <v>007.64/ﾏｴ</v>
      </c>
      <c r="H411" s="4" t="str">
        <f>"2012/01/05"</f>
        <v>2012/01/05</v>
      </c>
      <c r="I411" s="6">
        <v>2394</v>
      </c>
      <c r="J411" s="6">
        <v>100</v>
      </c>
      <c r="K411" s="4" t="str">
        <f t="shared" si="24"/>
        <v>1  和書</v>
      </c>
      <c r="L411" s="7"/>
    </row>
    <row r="412" spans="1:12" ht="24" x14ac:dyDescent="0.15">
      <c r="A412" s="36">
        <v>411</v>
      </c>
      <c r="B412" s="3" t="s">
        <v>16</v>
      </c>
      <c r="C412" s="10" t="str">
        <f>"0000615075"</f>
        <v>0000615075</v>
      </c>
      <c r="D412" s="11" t="str">
        <f>"ソフトウェア構造化技法 : ダイアグラム法による / J. マーチン, C. マックルーア著 ; 國友義久, 渡辺純一訳.-- 近代科学社; 1986.11."</f>
        <v>ソフトウェア構造化技法 : ダイアグラム法による / J. マーチン, C. マックルーア著 ; 國友義久, 渡辺純一訳.-- 近代科学社; 1986.11.</v>
      </c>
      <c r="E412" s="11" t="str">
        <f>""</f>
        <v/>
      </c>
      <c r="F412" s="28" t="s">
        <v>8</v>
      </c>
      <c r="G412" s="29" t="str">
        <f>"007.64/ﾏﾁ"</f>
        <v>007.64/ﾏﾁ</v>
      </c>
      <c r="H412" s="10" t="str">
        <f>"1995/03/31"</f>
        <v>1995/03/31</v>
      </c>
      <c r="I412" s="12">
        <v>4293</v>
      </c>
      <c r="J412" s="12">
        <v>100</v>
      </c>
      <c r="K412" s="10" t="str">
        <f t="shared" si="24"/>
        <v>1  和書</v>
      </c>
      <c r="L412" s="13"/>
    </row>
    <row r="413" spans="1:12" x14ac:dyDescent="0.15">
      <c r="A413" s="36">
        <v>412</v>
      </c>
      <c r="B413" s="3" t="s">
        <v>16</v>
      </c>
      <c r="C413" s="10" t="str">
        <f>"0000650427"</f>
        <v>0000650427</v>
      </c>
      <c r="D413" s="11" t="str">
        <f>"C・C++入門 / 松林勝志 [ほか] 共著.-- 森北出版; 1994.4."</f>
        <v>C・C++入門 / 松林勝志 [ほか] 共著.-- 森北出版; 1994.4.</v>
      </c>
      <c r="E413" s="11" t="str">
        <f>""</f>
        <v/>
      </c>
      <c r="F413" s="28" t="s">
        <v>8</v>
      </c>
      <c r="G413" s="29" t="str">
        <f>"007.64/ﾏﾂ"</f>
        <v>007.64/ﾏﾂ</v>
      </c>
      <c r="H413" s="10" t="str">
        <f>"1995/03/31"</f>
        <v>1995/03/31</v>
      </c>
      <c r="I413" s="12">
        <v>2305</v>
      </c>
      <c r="J413" s="12">
        <v>100</v>
      </c>
      <c r="K413" s="10" t="str">
        <f t="shared" si="24"/>
        <v>1  和書</v>
      </c>
      <c r="L413" s="13"/>
    </row>
    <row r="414" spans="1:12" x14ac:dyDescent="0.15">
      <c r="A414" s="36">
        <v>413</v>
      </c>
      <c r="B414" s="3" t="s">
        <v>16</v>
      </c>
      <c r="C414" s="4" t="str">
        <f>"0002798899"</f>
        <v>0002798899</v>
      </c>
      <c r="D414" s="5" t="str">
        <f>"Eclipse 3.7完全攻略 / 宮本信二著.-- ソフトバンククリエイティブ; 2011.11."</f>
        <v>Eclipse 3.7完全攻略 / 宮本信二著.-- ソフトバンククリエイティブ; 2011.11.</v>
      </c>
      <c r="E414" s="5" t="str">
        <f>""</f>
        <v/>
      </c>
      <c r="F414" s="26"/>
      <c r="G414" s="27" t="str">
        <f>"007.64/ﾐﾔ"</f>
        <v>007.64/ﾐﾔ</v>
      </c>
      <c r="H414" s="4" t="str">
        <f>"2011/10/31"</f>
        <v>2011/10/31</v>
      </c>
      <c r="I414" s="6">
        <v>2940</v>
      </c>
      <c r="J414" s="6">
        <v>100</v>
      </c>
      <c r="K414" s="4" t="str">
        <f t="shared" si="24"/>
        <v>1  和書</v>
      </c>
      <c r="L414" s="7"/>
    </row>
    <row r="415" spans="1:12" x14ac:dyDescent="0.15">
      <c r="A415" s="36">
        <v>414</v>
      </c>
      <c r="B415" s="3" t="s">
        <v>16</v>
      </c>
      <c r="C415" s="4" t="str">
        <f>"0002798912"</f>
        <v>0002798912</v>
      </c>
      <c r="D415" s="5" t="str">
        <f>"Eclipse 3.7完全攻略 / 宮本信二著.-- ソフトバンククリエイティブ; 2011.11."</f>
        <v>Eclipse 3.7完全攻略 / 宮本信二著.-- ソフトバンククリエイティブ; 2011.11.</v>
      </c>
      <c r="E415" s="5" t="str">
        <f>""</f>
        <v/>
      </c>
      <c r="F415" s="26"/>
      <c r="G415" s="27" t="str">
        <f>"007.64/ﾐﾔ"</f>
        <v>007.64/ﾐﾔ</v>
      </c>
      <c r="H415" s="4" t="str">
        <f>"2011/10/31"</f>
        <v>2011/10/31</v>
      </c>
      <c r="I415" s="6">
        <v>2940</v>
      </c>
      <c r="J415" s="6">
        <v>100</v>
      </c>
      <c r="K415" s="4" t="str">
        <f t="shared" si="24"/>
        <v>1  和書</v>
      </c>
      <c r="L415" s="7"/>
    </row>
    <row r="416" spans="1:12" ht="24" x14ac:dyDescent="0.15">
      <c r="A416" s="36">
        <v>415</v>
      </c>
      <c r="B416" s="3" t="s">
        <v>16</v>
      </c>
      <c r="C416" s="10" t="str">
        <f>"0001015577"</f>
        <v>0001015577</v>
      </c>
      <c r="D416" s="11" t="str">
        <f>"コンピュータのための自然言語意味理解の基礎 / C.S.メリッシュ著 ; 田中穂積訳.-- サイエンス社; 1987.7.-- (Information &amp; computing ; 15)."</f>
        <v>コンピュータのための自然言語意味理解の基礎 / C.S.メリッシュ著 ; 田中穂積訳.-- サイエンス社; 1987.7.-- (Information &amp; computing ; 15).</v>
      </c>
      <c r="E416" s="11" t="str">
        <f>""</f>
        <v/>
      </c>
      <c r="F416" s="28" t="s">
        <v>8</v>
      </c>
      <c r="G416" s="29" t="str">
        <f>"007.64/ﾒﾘ"</f>
        <v>007.64/ﾒﾘ</v>
      </c>
      <c r="H416" s="10" t="str">
        <f>"1996/03/29"</f>
        <v>1996/03/29</v>
      </c>
      <c r="I416" s="12">
        <v>1848</v>
      </c>
      <c r="J416" s="12">
        <v>100</v>
      </c>
      <c r="K416" s="10" t="str">
        <f t="shared" si="24"/>
        <v>1  和書</v>
      </c>
      <c r="L416" s="13"/>
    </row>
    <row r="417" spans="1:12" ht="24" x14ac:dyDescent="0.15">
      <c r="A417" s="36">
        <v>416</v>
      </c>
      <c r="B417" s="3" t="s">
        <v>16</v>
      </c>
      <c r="C417" s="4" t="str">
        <f>"0002767376"</f>
        <v>0002767376</v>
      </c>
      <c r="D417" s="5" t="str">
        <f>"Java言語で学ぶデザインパターン入門 / 結城浩著 ; [正], マルチスレッド編.-- 増補改訂版.-- ソフトバンクパブリッシング; 2004.6-2006.3."</f>
        <v>Java言語で学ぶデザインパターン入門 / 結城浩著 ; [正], マルチスレッド編.-- 増補改訂版.-- ソフトバンクパブリッシング; 2004.6-2006.3.</v>
      </c>
      <c r="E417" s="5" t="str">
        <f>"[正]"</f>
        <v>[正]</v>
      </c>
      <c r="F417" s="26"/>
      <c r="G417" s="27" t="str">
        <f>"007.64/ﾕｳ/1"</f>
        <v>007.64/ﾕｳ/1</v>
      </c>
      <c r="H417" s="4" t="str">
        <f>"2006/11/17"</f>
        <v>2006/11/17</v>
      </c>
      <c r="I417" s="6">
        <v>3591</v>
      </c>
      <c r="J417" s="6">
        <v>100</v>
      </c>
      <c r="K417" s="4" t="str">
        <f t="shared" si="24"/>
        <v>1  和書</v>
      </c>
      <c r="L417" s="7"/>
    </row>
    <row r="418" spans="1:12" ht="24" x14ac:dyDescent="0.15">
      <c r="A418" s="36">
        <v>417</v>
      </c>
      <c r="B418" s="3" t="s">
        <v>16</v>
      </c>
      <c r="C418" s="4" t="str">
        <f>"0002767406"</f>
        <v>0002767406</v>
      </c>
      <c r="D418" s="5" t="str">
        <f>"Java言語で学ぶデザインパターン入門 / 結城浩著 ; [正], マルチスレッド編.-- 増補改訂版.-- ソフトバンクパブリッシング; 2004.6-2006.3."</f>
        <v>Java言語で学ぶデザインパターン入門 / 結城浩著 ; [正], マルチスレッド編.-- 増補改訂版.-- ソフトバンクパブリッシング; 2004.6-2006.3.</v>
      </c>
      <c r="E418" s="5" t="str">
        <f>"[正]"</f>
        <v>[正]</v>
      </c>
      <c r="F418" s="26"/>
      <c r="G418" s="27" t="str">
        <f>"007.64/ﾕｳ/1"</f>
        <v>007.64/ﾕｳ/1</v>
      </c>
      <c r="H418" s="4" t="str">
        <f>"2006/11/29"</f>
        <v>2006/11/29</v>
      </c>
      <c r="I418" s="6">
        <v>3591</v>
      </c>
      <c r="J418" s="6">
        <v>100</v>
      </c>
      <c r="K418" s="4" t="str">
        <f t="shared" si="24"/>
        <v>1  和書</v>
      </c>
      <c r="L418" s="7"/>
    </row>
    <row r="419" spans="1:12" ht="24" x14ac:dyDescent="0.15">
      <c r="A419" s="36">
        <v>418</v>
      </c>
      <c r="B419" s="3" t="s">
        <v>16</v>
      </c>
      <c r="C419" s="10" t="str">
        <f>"0001013337"</f>
        <v>0001013337</v>
      </c>
      <c r="D419" s="11" t="str">
        <f>"論理プログラミングの基礎 / J.W. ロイド著 ; 佐藤雅彦, 森下真一訳.-- 産業図書; 1987.6.-- (ソフトウェアサイエンスシリーズ)."</f>
        <v>論理プログラミングの基礎 / J.W. ロイド著 ; 佐藤雅彦, 森下真一訳.-- 産業図書; 1987.6.-- (ソフトウェアサイエンスシリーズ).</v>
      </c>
      <c r="E419" s="11" t="str">
        <f>""</f>
        <v/>
      </c>
      <c r="F419" s="28" t="s">
        <v>8</v>
      </c>
      <c r="G419" s="29" t="str">
        <f>"007.64/ﾛｲ"</f>
        <v>007.64/ﾛｲ</v>
      </c>
      <c r="H419" s="10" t="str">
        <f>"1996/03/29"</f>
        <v>1996/03/29</v>
      </c>
      <c r="I419" s="12">
        <v>1446</v>
      </c>
      <c r="J419" s="12">
        <v>100</v>
      </c>
      <c r="K419" s="10" t="str">
        <f t="shared" si="24"/>
        <v>1  和書</v>
      </c>
      <c r="L419" s="13"/>
    </row>
    <row r="420" spans="1:12" ht="36" x14ac:dyDescent="0.15">
      <c r="A420" s="36">
        <v>419</v>
      </c>
      <c r="B420" s="3" t="s">
        <v>16</v>
      </c>
      <c r="C420" s="4" t="str">
        <f>"0000463300"</f>
        <v>0000463300</v>
      </c>
      <c r="D420" s="5" t="str">
        <f>"The design and analysis of computer algorithms / Alfred V. Aho, John E. Hopcroft, Jeffrey D. Ullman.-- Addison-Wesley; 1974.-- (Addison-Wesley series in computer science and information processing)."</f>
        <v>The design and analysis of computer algorithms / Alfred V. Aho, John E. Hopcroft, Jeffrey D. Ullman.-- Addison-Wesley; 1974.-- (Addison-Wesley series in computer science and information processing).</v>
      </c>
      <c r="E420" s="5" t="str">
        <f>""</f>
        <v/>
      </c>
      <c r="F420" s="26"/>
      <c r="G420" s="27" t="str">
        <f>"007.64/AH"</f>
        <v>007.64/AH</v>
      </c>
      <c r="H420" s="4" t="str">
        <f>"1994/05/30"</f>
        <v>1994/05/30</v>
      </c>
      <c r="I420" s="6">
        <v>9380</v>
      </c>
      <c r="J420" s="6">
        <v>100</v>
      </c>
      <c r="K420" s="4" t="str">
        <f t="shared" ref="K420:K483" si="25">"2  洋書"</f>
        <v>2  洋書</v>
      </c>
      <c r="L420" s="7"/>
    </row>
    <row r="421" spans="1:12" ht="36" x14ac:dyDescent="0.15">
      <c r="A421" s="36">
        <v>420</v>
      </c>
      <c r="B421" s="3" t="s">
        <v>16</v>
      </c>
      <c r="C421" s="10" t="str">
        <f>"0000476324"</f>
        <v>0000476324</v>
      </c>
      <c r="D421" s="11" t="str">
        <f>"The AWK programming language / Alfred V. Aho, Brian W. Kernighan, Peter J. Weinberger ; : pbk.-- Addison-Wesley Pub. Co.; c1988.-- (Addison-Wesley series in computer science)."</f>
        <v>The AWK programming language / Alfred V. Aho, Brian W. Kernighan, Peter J. Weinberger ; : pbk.-- Addison-Wesley Pub. Co.; c1988.-- (Addison-Wesley series in computer science).</v>
      </c>
      <c r="E421" s="11" t="str">
        <f>": pbk"</f>
        <v>: pbk</v>
      </c>
      <c r="F421" s="28" t="s">
        <v>8</v>
      </c>
      <c r="G421" s="29" t="str">
        <f>"007.64/AH"</f>
        <v>007.64/AH</v>
      </c>
      <c r="H421" s="10" t="str">
        <f>"1994/08/03"</f>
        <v>1994/08/03</v>
      </c>
      <c r="I421" s="12">
        <v>5023</v>
      </c>
      <c r="J421" s="12">
        <v>100</v>
      </c>
      <c r="K421" s="10" t="str">
        <f t="shared" si="25"/>
        <v>2  洋書</v>
      </c>
      <c r="L421" s="13"/>
    </row>
    <row r="422" spans="1:12" ht="24" x14ac:dyDescent="0.15">
      <c r="A422" s="36">
        <v>421</v>
      </c>
      <c r="B422" s="3" t="s">
        <v>16</v>
      </c>
      <c r="C422" s="10" t="str">
        <f>"0000384858"</f>
        <v>0000384858</v>
      </c>
      <c r="D422" s="11" t="str">
        <f>"The design of data structures and algorithms / J.J. van Amstel and J.A.A.M. Poirters ; : pbk..-- Prentice Hall International."</f>
        <v>The design of data structures and algorithms / J.J. van Amstel and J.A.A.M. Poirters ; : pbk..-- Prentice Hall International.</v>
      </c>
      <c r="E422" s="11" t="str">
        <f>": pbk."</f>
        <v>: pbk.</v>
      </c>
      <c r="F422" s="28" t="s">
        <v>8</v>
      </c>
      <c r="G422" s="29" t="str">
        <f>"007.64/AM"</f>
        <v>007.64/AM</v>
      </c>
      <c r="H422" s="10" t="str">
        <f>"1994/03/31"</f>
        <v>1994/03/31</v>
      </c>
      <c r="I422" s="12">
        <v>3061</v>
      </c>
      <c r="J422" s="12">
        <v>100</v>
      </c>
      <c r="K422" s="10" t="str">
        <f t="shared" si="25"/>
        <v>2  洋書</v>
      </c>
      <c r="L422" s="13"/>
    </row>
    <row r="423" spans="1:12" ht="24" x14ac:dyDescent="0.15">
      <c r="A423" s="36">
        <v>422</v>
      </c>
      <c r="B423" s="3" t="s">
        <v>16</v>
      </c>
      <c r="C423" s="10" t="str">
        <f>"0000486347"</f>
        <v>0000486347</v>
      </c>
      <c r="D423" s="11" t="str">
        <f>"The design of data structures and algorithms / J.J. van Amstel and J.A.A.M. Poirters ; : pbk..-- Prentice Hall International."</f>
        <v>The design of data structures and algorithms / J.J. van Amstel and J.A.A.M. Poirters ; : pbk..-- Prentice Hall International.</v>
      </c>
      <c r="E423" s="11" t="str">
        <f>""</f>
        <v/>
      </c>
      <c r="F423" s="28" t="s">
        <v>8</v>
      </c>
      <c r="G423" s="29" t="str">
        <f>"007.64/AM"</f>
        <v>007.64/AM</v>
      </c>
      <c r="H423" s="10" t="str">
        <f>"1994/10/04"</f>
        <v>1994/10/04</v>
      </c>
      <c r="I423" s="12">
        <v>15341</v>
      </c>
      <c r="J423" s="14">
        <v>500</v>
      </c>
      <c r="K423" s="10" t="str">
        <f t="shared" si="25"/>
        <v>2  洋書</v>
      </c>
      <c r="L423" s="13"/>
    </row>
    <row r="424" spans="1:12" ht="36" x14ac:dyDescent="0.15">
      <c r="A424" s="36">
        <v>423</v>
      </c>
      <c r="B424" s="3" t="s">
        <v>16</v>
      </c>
      <c r="C424" s="10" t="str">
        <f>"0001694031"</f>
        <v>0001694031</v>
      </c>
      <c r="D424" s="11" t="str">
        <f>"More process patterns : delivering large-scale systems using object technology / Scott W. Ambler ; : hbk..-- Cambridge University Press.-- (Managing object technology series ; 19)."</f>
        <v>More process patterns : delivering large-scale systems using object technology / Scott W. Ambler ; : hbk..-- Cambridge University Press.-- (Managing object technology series ; 19).</v>
      </c>
      <c r="E424" s="11" t="str">
        <f>": hbk."</f>
        <v>: hbk.</v>
      </c>
      <c r="F424" s="28" t="s">
        <v>8</v>
      </c>
      <c r="G424" s="29" t="str">
        <f>"007.64/AM"</f>
        <v>007.64/AM</v>
      </c>
      <c r="H424" s="10" t="str">
        <f>"1999/06/28"</f>
        <v>1999/06/28</v>
      </c>
      <c r="I424" s="12">
        <v>7115</v>
      </c>
      <c r="J424" s="12">
        <v>100</v>
      </c>
      <c r="K424" s="10" t="str">
        <f t="shared" si="25"/>
        <v>2  洋書</v>
      </c>
      <c r="L424" s="13"/>
    </row>
    <row r="425" spans="1:12" ht="24" x14ac:dyDescent="0.15">
      <c r="A425" s="36">
        <v>424</v>
      </c>
      <c r="B425" s="3" t="s">
        <v>16</v>
      </c>
      <c r="C425" s="10" t="str">
        <f>"0002763132"</f>
        <v>0002763132</v>
      </c>
      <c r="D425" s="11" t="str">
        <f>"The Java programming language / Ken Arnold, James Gosling, David Holmes.-- 4th ed.-- Addison-Wesley; c2006.-- (The Java series)."</f>
        <v>The Java programming language / Ken Arnold, James Gosling, David Holmes.-- 4th ed.-- Addison-Wesley; c2006.-- (The Java series).</v>
      </c>
      <c r="E425" s="11" t="str">
        <f>""</f>
        <v/>
      </c>
      <c r="F425" s="28" t="s">
        <v>8</v>
      </c>
      <c r="G425" s="29" t="str">
        <f>"007.64/AR"</f>
        <v>007.64/AR</v>
      </c>
      <c r="H425" s="10" t="str">
        <f>"2005/11/01"</f>
        <v>2005/11/01</v>
      </c>
      <c r="I425" s="12">
        <v>8212</v>
      </c>
      <c r="J425" s="12">
        <v>100</v>
      </c>
      <c r="K425" s="10" t="str">
        <f t="shared" si="25"/>
        <v>2  洋書</v>
      </c>
      <c r="L425" s="13"/>
    </row>
    <row r="426" spans="1:12" ht="36" x14ac:dyDescent="0.15">
      <c r="A426" s="36">
        <v>425</v>
      </c>
      <c r="B426" s="3" t="s">
        <v>16</v>
      </c>
      <c r="C426" s="10" t="str">
        <f>"0000400824"</f>
        <v>0000400824</v>
      </c>
      <c r="D426" s="11" t="str">
        <f>"Abstract data types and algorithms / Manoochehr Azmoodeh ; pbk.-- 2nd ed.-- Macmillan education; c1990.-- (Macmillan computer science series)."</f>
        <v>Abstract data types and algorithms / Manoochehr Azmoodeh ; pbk.-- 2nd ed.-- Macmillan education; c1990.-- (Macmillan computer science series).</v>
      </c>
      <c r="E426" s="11" t="str">
        <f>"pbk"</f>
        <v>pbk</v>
      </c>
      <c r="F426" s="28" t="s">
        <v>8</v>
      </c>
      <c r="G426" s="29" t="str">
        <f>"007.64/AZ"</f>
        <v>007.64/AZ</v>
      </c>
      <c r="H426" s="10" t="str">
        <f>"1994/03/31"</f>
        <v>1994/03/31</v>
      </c>
      <c r="I426" s="12">
        <v>3913</v>
      </c>
      <c r="J426" s="12">
        <v>100</v>
      </c>
      <c r="K426" s="10" t="str">
        <f t="shared" si="25"/>
        <v>2  洋書</v>
      </c>
      <c r="L426" s="13"/>
    </row>
    <row r="427" spans="1:12" ht="36" x14ac:dyDescent="0.15">
      <c r="A427" s="36">
        <v>426</v>
      </c>
      <c r="B427" s="3" t="s">
        <v>16</v>
      </c>
      <c r="C427" s="4" t="str">
        <f>"0001667127"</f>
        <v>0001667127</v>
      </c>
      <c r="D427" s="5" t="str">
        <f>"Genetic programming : an introduction on the automatic evolution of computer programs and its applications / Wolfgang Banzhaf ... [et al.] ; : MKP, : dpunkt.-- Morgan Kaufmann."</f>
        <v>Genetic programming : an introduction on the automatic evolution of computer programs and its applications / Wolfgang Banzhaf ... [et al.] ; : MKP, : dpunkt.-- Morgan Kaufmann.</v>
      </c>
      <c r="E427" s="5" t="str">
        <f>": MKP"</f>
        <v>: MKP</v>
      </c>
      <c r="F427" s="26"/>
      <c r="G427" s="27" t="str">
        <f>"007.64/BA"</f>
        <v>007.64/BA</v>
      </c>
      <c r="H427" s="4" t="str">
        <f>"1998/03/16"</f>
        <v>1998/03/16</v>
      </c>
      <c r="I427" s="6">
        <v>12209</v>
      </c>
      <c r="J427" s="8">
        <v>500</v>
      </c>
      <c r="K427" s="4" t="str">
        <f t="shared" si="25"/>
        <v>2  洋書</v>
      </c>
      <c r="L427" s="7"/>
    </row>
    <row r="428" spans="1:12" ht="36" x14ac:dyDescent="0.15">
      <c r="A428" s="36">
        <v>427</v>
      </c>
      <c r="B428" s="3" t="s">
        <v>16</v>
      </c>
      <c r="C428" s="4" t="str">
        <f>"0001670394"</f>
        <v>0001670394</v>
      </c>
      <c r="D428" s="5" t="str">
        <f>"Genetic programming : an introduction on the automatic evolution of computer programs and its applications / Wolfgang Banzhaf ... [et al.] ; : MKP, : dpunkt.-- Morgan Kaufmann."</f>
        <v>Genetic programming : an introduction on the automatic evolution of computer programs and its applications / Wolfgang Banzhaf ... [et al.] ; : MKP, : dpunkt.-- Morgan Kaufmann.</v>
      </c>
      <c r="E428" s="5" t="str">
        <f>": MKP"</f>
        <v>: MKP</v>
      </c>
      <c r="F428" s="26"/>
      <c r="G428" s="27" t="str">
        <f>"007.64/BA"</f>
        <v>007.64/BA</v>
      </c>
      <c r="H428" s="4" t="str">
        <f>"1998/04/14"</f>
        <v>1998/04/14</v>
      </c>
      <c r="I428" s="6">
        <v>12152</v>
      </c>
      <c r="J428" s="8">
        <v>500</v>
      </c>
      <c r="K428" s="4" t="str">
        <f t="shared" si="25"/>
        <v>2  洋書</v>
      </c>
      <c r="L428" s="7"/>
    </row>
    <row r="429" spans="1:12" ht="24" x14ac:dyDescent="0.15">
      <c r="A429" s="36">
        <v>428</v>
      </c>
      <c r="B429" s="3" t="s">
        <v>16</v>
      </c>
      <c r="C429" s="10" t="str">
        <f>"0000850827"</f>
        <v>0000850827</v>
      </c>
      <c r="D429" s="11" t="str">
        <f>"Object-oriented design for C++ / Tsvi Bar-David.-- PTR Prentice Hall; c1993."</f>
        <v>Object-oriented design for C++ / Tsvi Bar-David.-- PTR Prentice Hall; c1993.</v>
      </c>
      <c r="E429" s="11" t="str">
        <f>""</f>
        <v/>
      </c>
      <c r="F429" s="28" t="s">
        <v>8</v>
      </c>
      <c r="G429" s="29" t="str">
        <f>"007.64/BA"</f>
        <v>007.64/BA</v>
      </c>
      <c r="H429" s="10" t="str">
        <f>"1995/06/15"</f>
        <v>1995/06/15</v>
      </c>
      <c r="I429" s="12">
        <v>5320</v>
      </c>
      <c r="J429" s="12">
        <v>100</v>
      </c>
      <c r="K429" s="10" t="str">
        <f t="shared" si="25"/>
        <v>2  洋書</v>
      </c>
      <c r="L429" s="13"/>
    </row>
    <row r="430" spans="1:12" ht="36" x14ac:dyDescent="0.15">
      <c r="A430" s="36">
        <v>429</v>
      </c>
      <c r="B430" s="3" t="s">
        <v>16</v>
      </c>
      <c r="C430" s="10" t="str">
        <f>"0001285727"</f>
        <v>0001285727</v>
      </c>
      <c r="D430" s="11" t="str">
        <f>"Semantics of sequential and parallel programs / Eike Best ; pbk. : alk. paper.-- Prentice Hall; 1996.-- (Prentice-Hall International series in computer science)."</f>
        <v>Semantics of sequential and parallel programs / Eike Best ; pbk. : alk. paper.-- Prentice Hall; 1996.-- (Prentice-Hall International series in computer science).</v>
      </c>
      <c r="E430" s="11" t="str">
        <f>"pbk. : alk. paper"</f>
        <v>pbk. : alk. paper</v>
      </c>
      <c r="F430" s="28" t="s">
        <v>8</v>
      </c>
      <c r="G430" s="29" t="str">
        <f>"007.64/BE"</f>
        <v>007.64/BE</v>
      </c>
      <c r="H430" s="10" t="str">
        <f>"1997/02/28"</f>
        <v>1997/02/28</v>
      </c>
      <c r="I430" s="12">
        <v>7212</v>
      </c>
      <c r="J430" s="12">
        <v>100</v>
      </c>
      <c r="K430" s="10" t="str">
        <f t="shared" si="25"/>
        <v>2  洋書</v>
      </c>
      <c r="L430" s="13"/>
    </row>
    <row r="431" spans="1:12" ht="36" x14ac:dyDescent="0.15">
      <c r="A431" s="36">
        <v>430</v>
      </c>
      <c r="B431" s="3" t="s">
        <v>16</v>
      </c>
      <c r="C431" s="10" t="str">
        <f>"0001661200"</f>
        <v>0001661200</v>
      </c>
      <c r="D431" s="11" t="str">
        <f>"Semantics of sequential and parallel programs / Eike Best ; pbk. : alk. paper.-- Prentice Hall; 1996.-- (Prentice-Hall International series in computer science)."</f>
        <v>Semantics of sequential and parallel programs / Eike Best ; pbk. : alk. paper.-- Prentice Hall; 1996.-- (Prentice-Hall International series in computer science).</v>
      </c>
      <c r="E431" s="11" t="str">
        <f>"pbk. : alk. paper"</f>
        <v>pbk. : alk. paper</v>
      </c>
      <c r="F431" s="28" t="s">
        <v>8</v>
      </c>
      <c r="G431" s="29" t="str">
        <f>"007.64/BE"</f>
        <v>007.64/BE</v>
      </c>
      <c r="H431" s="10" t="str">
        <f>"1997/11/20"</f>
        <v>1997/11/20</v>
      </c>
      <c r="I431" s="12">
        <v>8476</v>
      </c>
      <c r="J431" s="12">
        <v>100</v>
      </c>
      <c r="K431" s="10" t="str">
        <f t="shared" si="25"/>
        <v>2  洋書</v>
      </c>
      <c r="L431" s="13"/>
    </row>
    <row r="432" spans="1:12" ht="24" x14ac:dyDescent="0.15">
      <c r="A432" s="36">
        <v>431</v>
      </c>
      <c r="B432" s="3" t="s">
        <v>16</v>
      </c>
      <c r="C432" s="10" t="str">
        <f>"0001691344"</f>
        <v>0001691344</v>
      </c>
      <c r="D432" s="11" t="str">
        <f>"Advanced techniques for Java developers / Daniel J. Berg, J. Steven Fritzinger ; : pbk..-- Rev. ed.-- John Wiley; c1999."</f>
        <v>Advanced techniques for Java developers / Daniel J. Berg, J. Steven Fritzinger ; : pbk..-- Rev. ed.-- John Wiley; c1999.</v>
      </c>
      <c r="E432" s="11" t="str">
        <f>": pbk."</f>
        <v>: pbk.</v>
      </c>
      <c r="F432" s="28" t="s">
        <v>8</v>
      </c>
      <c r="G432" s="29" t="str">
        <f>"007.64/BE"</f>
        <v>007.64/BE</v>
      </c>
      <c r="H432" s="10" t="str">
        <f>"1999/03/05"</f>
        <v>1999/03/05</v>
      </c>
      <c r="I432" s="12">
        <v>8079</v>
      </c>
      <c r="J432" s="12">
        <v>100</v>
      </c>
      <c r="K432" s="10" t="str">
        <f t="shared" si="25"/>
        <v>2  洋書</v>
      </c>
      <c r="L432" s="13"/>
    </row>
    <row r="433" spans="1:12" ht="24" x14ac:dyDescent="0.15">
      <c r="A433" s="36">
        <v>432</v>
      </c>
      <c r="B433" s="3" t="s">
        <v>16</v>
      </c>
      <c r="C433" s="10" t="str">
        <f>"0001274660"</f>
        <v>0001274660</v>
      </c>
      <c r="D433" s="11" t="str">
        <f>"Java essentials for C and C++ programmers / Barry Boone.-- Addison-Wesley Developers Press; 1996."</f>
        <v>Java essentials for C and C++ programmers / Barry Boone.-- Addison-Wesley Developers Press; 1996.</v>
      </c>
      <c r="E433" s="11" t="str">
        <f>""</f>
        <v/>
      </c>
      <c r="F433" s="28" t="s">
        <v>8</v>
      </c>
      <c r="G433" s="29" t="str">
        <f>"007.64/BO"</f>
        <v>007.64/BO</v>
      </c>
      <c r="H433" s="10" t="str">
        <f>"1996/08/23"</f>
        <v>1996/08/23</v>
      </c>
      <c r="I433" s="12">
        <v>3012</v>
      </c>
      <c r="J433" s="12">
        <v>100</v>
      </c>
      <c r="K433" s="10" t="str">
        <f t="shared" si="25"/>
        <v>2  洋書</v>
      </c>
      <c r="L433" s="13"/>
    </row>
    <row r="434" spans="1:12" ht="48" x14ac:dyDescent="0.15">
      <c r="A434" s="36">
        <v>433</v>
      </c>
      <c r="B434" s="3" t="s">
        <v>16</v>
      </c>
      <c r="C434" s="10" t="str">
        <f>"0001285130"</f>
        <v>0001285130</v>
      </c>
      <c r="D434" s="11" t="str">
        <f>"Programming in Modula-3 : an introduction in programming with style / L◆U00E1◆szl◆U00F3◆ B◆U00F6◆sz◆U00F6◆rm◆U00E9◆nyi, Carsten Weich ; foreword by Joseph Weizenbaum.-- Springer-Verlag; c1996."</f>
        <v>Programming in Modula-3 : an introduction in programming with style / L◆U00E1◆szl◆U00F3◆ B◆U00F6◆sz◆U00F6◆rm◆U00E9◆nyi, Carsten Weich ; foreword by Joseph Weizenbaum.-- Springer-Verlag; c1996.</v>
      </c>
      <c r="E434" s="11" t="str">
        <f>""</f>
        <v/>
      </c>
      <c r="F434" s="28" t="s">
        <v>8</v>
      </c>
      <c r="G434" s="29" t="str">
        <f>"007.64/BO"</f>
        <v>007.64/BO</v>
      </c>
      <c r="H434" s="10" t="str">
        <f>"1997/02/21"</f>
        <v>1997/02/21</v>
      </c>
      <c r="I434" s="12">
        <v>5914</v>
      </c>
      <c r="J434" s="12">
        <v>100</v>
      </c>
      <c r="K434" s="10" t="str">
        <f t="shared" si="25"/>
        <v>2  洋書</v>
      </c>
      <c r="L434" s="13"/>
    </row>
    <row r="435" spans="1:12" ht="24" x14ac:dyDescent="0.15">
      <c r="A435" s="36">
        <v>434</v>
      </c>
      <c r="B435" s="3" t="s">
        <v>16</v>
      </c>
      <c r="C435" s="10" t="str">
        <f>"0001513127"</f>
        <v>0001513127</v>
      </c>
      <c r="D435" s="11" t="str">
        <f>"Objectifying Motif / Charles F. Bowman ; : SIGS Books, : Prentice Hall.-- SIGS Books; c1995.-- (Advances in object technology ; 10)."</f>
        <v>Objectifying Motif / Charles F. Bowman ; : SIGS Books, : Prentice Hall.-- SIGS Books; c1995.-- (Advances in object technology ; 10).</v>
      </c>
      <c r="E435" s="11" t="str">
        <f>": SIGS Books"</f>
        <v>: SIGS Books</v>
      </c>
      <c r="F435" s="28" t="s">
        <v>8</v>
      </c>
      <c r="G435" s="29" t="str">
        <f>"007.64/BO"</f>
        <v>007.64/BO</v>
      </c>
      <c r="H435" s="10" t="str">
        <f>"1997/03/31"</f>
        <v>1997/03/31</v>
      </c>
      <c r="I435" s="12">
        <v>5045</v>
      </c>
      <c r="J435" s="12">
        <v>100</v>
      </c>
      <c r="K435" s="10" t="str">
        <f t="shared" si="25"/>
        <v>2  洋書</v>
      </c>
      <c r="L435" s="13"/>
    </row>
    <row r="436" spans="1:12" ht="24" x14ac:dyDescent="0.15">
      <c r="A436" s="36">
        <v>435</v>
      </c>
      <c r="B436" s="3" t="s">
        <v>16</v>
      </c>
      <c r="C436" s="10" t="str">
        <f>"0000474047"</f>
        <v>0000474047</v>
      </c>
      <c r="D436" s="11" t="str">
        <f>"Parallel programming : an introduction / Thomas Bra◆U00FC◆nl.-- Prentice Hall International; 1993."</f>
        <v>Parallel programming : an introduction / Thomas Bra◆U00FC◆nl.-- Prentice Hall International; 1993.</v>
      </c>
      <c r="E436" s="11" t="str">
        <f>""</f>
        <v/>
      </c>
      <c r="F436" s="28" t="s">
        <v>8</v>
      </c>
      <c r="G436" s="29" t="str">
        <f>"007.64/BR"</f>
        <v>007.64/BR</v>
      </c>
      <c r="H436" s="10" t="str">
        <f>"1994/07/19"</f>
        <v>1994/07/19</v>
      </c>
      <c r="I436" s="12">
        <v>5496</v>
      </c>
      <c r="J436" s="12">
        <v>100</v>
      </c>
      <c r="K436" s="10" t="str">
        <f t="shared" si="25"/>
        <v>2  洋書</v>
      </c>
      <c r="L436" s="13"/>
    </row>
    <row r="437" spans="1:12" ht="24" x14ac:dyDescent="0.15">
      <c r="A437" s="36">
        <v>436</v>
      </c>
      <c r="B437" s="3" t="s">
        <v>16</v>
      </c>
      <c r="C437" s="10" t="str">
        <f>"0000544535"</f>
        <v>0000544535</v>
      </c>
      <c r="D437" s="11" t="str">
        <f>"Logic programming : proceedings of the 1994 international symposium / edited by Maurice Bruynooghe.-- MIT; c1994."</f>
        <v>Logic programming : proceedings of the 1994 international symposium / edited by Maurice Bruynooghe.-- MIT; c1994.</v>
      </c>
      <c r="E437" s="11" t="str">
        <f>""</f>
        <v/>
      </c>
      <c r="F437" s="28" t="s">
        <v>8</v>
      </c>
      <c r="G437" s="29" t="str">
        <f>"007.64/BR"</f>
        <v>007.64/BR</v>
      </c>
      <c r="H437" s="10" t="str">
        <f>"1995/04/28"</f>
        <v>1995/04/28</v>
      </c>
      <c r="I437" s="12">
        <v>14600</v>
      </c>
      <c r="J437" s="14">
        <v>500</v>
      </c>
      <c r="K437" s="10" t="str">
        <f t="shared" si="25"/>
        <v>2  洋書</v>
      </c>
      <c r="L437" s="13"/>
    </row>
    <row r="438" spans="1:12" ht="36" x14ac:dyDescent="0.15">
      <c r="A438" s="36">
        <v>437</v>
      </c>
      <c r="B438" s="3" t="s">
        <v>16</v>
      </c>
      <c r="C438" s="10" t="str">
        <f>"0001663310"</f>
        <v>0001663310</v>
      </c>
      <c r="D438" s="11" t="str">
        <f>"The Java tutorial : object-oriented programming for the Internet / Mary Campione and Kathy Walrath.-- Addison Wesley; c1996.-- (The Java series)."</f>
        <v>The Java tutorial : object-oriented programming for the Internet / Mary Campione and Kathy Walrath.-- Addison Wesley; c1996.-- (The Java series).</v>
      </c>
      <c r="E438" s="11" t="str">
        <f>""</f>
        <v/>
      </c>
      <c r="F438" s="28" t="s">
        <v>8</v>
      </c>
      <c r="G438" s="29" t="str">
        <f>"007.64/CA"</f>
        <v>007.64/CA</v>
      </c>
      <c r="H438" s="10" t="str">
        <f>"1998/01/23"</f>
        <v>1998/01/23</v>
      </c>
      <c r="I438" s="12">
        <v>6841</v>
      </c>
      <c r="J438" s="12">
        <v>100</v>
      </c>
      <c r="K438" s="10" t="str">
        <f t="shared" si="25"/>
        <v>2  洋書</v>
      </c>
      <c r="L438" s="13"/>
    </row>
    <row r="439" spans="1:12" ht="36" x14ac:dyDescent="0.15">
      <c r="A439" s="36">
        <v>438</v>
      </c>
      <c r="B439" s="3" t="s">
        <v>16</v>
      </c>
      <c r="C439" s="4" t="str">
        <f>"0002764818"</f>
        <v>0002764818</v>
      </c>
      <c r="D439" s="5" t="str">
        <f>"Depth from defocus : a real aperture imaging approach / Subhasis Chaudhuri, A.N. Rajagopalan ; with a foreword by Alex (Sandy) Pentland.-- Springer; c1999."</f>
        <v>Depth from defocus : a real aperture imaging approach / Subhasis Chaudhuri, A.N. Rajagopalan ; with a foreword by Alex (Sandy) Pentland.-- Springer; c1999.</v>
      </c>
      <c r="E439" s="5" t="str">
        <f>""</f>
        <v/>
      </c>
      <c r="F439" s="26"/>
      <c r="G439" s="27" t="str">
        <f>"007.64/CH"</f>
        <v>007.64/CH</v>
      </c>
      <c r="H439" s="4" t="str">
        <f>"2006/03/15"</f>
        <v>2006/03/15</v>
      </c>
      <c r="I439" s="6">
        <v>10086</v>
      </c>
      <c r="J439" s="8">
        <v>500</v>
      </c>
      <c r="K439" s="4" t="str">
        <f t="shared" si="25"/>
        <v>2  洋書</v>
      </c>
      <c r="L439" s="7"/>
    </row>
    <row r="440" spans="1:12" ht="24" x14ac:dyDescent="0.15">
      <c r="A440" s="36">
        <v>439</v>
      </c>
      <c r="B440" s="3" t="s">
        <v>16</v>
      </c>
      <c r="C440" s="10" t="str">
        <f>"0000850872"</f>
        <v>0000850872</v>
      </c>
      <c r="D440" s="11" t="str">
        <f>"Programming in Prolog / W. F. Clocksin, C. S. Mellish ; : gw, : us.-- 4th ed.-- Springer-Verlag; c1994."</f>
        <v>Programming in Prolog / W. F. Clocksin, C. S. Mellish ; : gw, : us.-- 4th ed.-- Springer-Verlag; c1994.</v>
      </c>
      <c r="E440" s="11" t="str">
        <f>": gw"</f>
        <v>: gw</v>
      </c>
      <c r="F440" s="28" t="s">
        <v>8</v>
      </c>
      <c r="G440" s="29" t="str">
        <f>"007.64/CL"</f>
        <v>007.64/CL</v>
      </c>
      <c r="H440" s="10" t="str">
        <f>"1995/06/12"</f>
        <v>1995/06/12</v>
      </c>
      <c r="I440" s="12">
        <v>5005</v>
      </c>
      <c r="J440" s="12">
        <v>100</v>
      </c>
      <c r="K440" s="10" t="str">
        <f t="shared" si="25"/>
        <v>2  洋書</v>
      </c>
      <c r="L440" s="13"/>
    </row>
    <row r="441" spans="1:12" ht="24" x14ac:dyDescent="0.15">
      <c r="A441" s="36">
        <v>440</v>
      </c>
      <c r="B441" s="3" t="s">
        <v>16</v>
      </c>
      <c r="C441" s="10" t="str">
        <f>"0000889841"</f>
        <v>0000889841</v>
      </c>
      <c r="D441" s="11" t="str">
        <f>"Programming in Prolog / W. F. Clocksin, C. S. Mellish ; : gw, : us.-- 4th ed.-- Springer-Verlag; c1994."</f>
        <v>Programming in Prolog / W. F. Clocksin, C. S. Mellish ; : gw, : us.-- 4th ed.-- Springer-Verlag; c1994.</v>
      </c>
      <c r="E441" s="11" t="str">
        <f>": gw"</f>
        <v>: gw</v>
      </c>
      <c r="F441" s="28" t="s">
        <v>8</v>
      </c>
      <c r="G441" s="29" t="str">
        <f>"007.64/CL"</f>
        <v>007.64/CL</v>
      </c>
      <c r="H441" s="10" t="str">
        <f>"1996/01/09"</f>
        <v>1996/01/09</v>
      </c>
      <c r="I441" s="12">
        <v>5302</v>
      </c>
      <c r="J441" s="12">
        <v>100</v>
      </c>
      <c r="K441" s="10" t="str">
        <f t="shared" si="25"/>
        <v>2  洋書</v>
      </c>
      <c r="L441" s="13"/>
    </row>
    <row r="442" spans="1:12" ht="24" x14ac:dyDescent="0.15">
      <c r="A442" s="36">
        <v>441</v>
      </c>
      <c r="B442" s="3" t="s">
        <v>16</v>
      </c>
      <c r="C442" s="10" t="str">
        <f>"0001265040"</f>
        <v>0001265040</v>
      </c>
      <c r="D442" s="11" t="str">
        <f>"Programming in Prolog / W. F. Clocksin, C. S. Mellish ; : gw, : us.-- 4th ed.-- Springer-Verlag; c1994."</f>
        <v>Programming in Prolog / W. F. Clocksin, C. S. Mellish ; : gw, : us.-- 4th ed.-- Springer-Verlag; c1994.</v>
      </c>
      <c r="E442" s="11" t="str">
        <f>": gw"</f>
        <v>: gw</v>
      </c>
      <c r="F442" s="28" t="s">
        <v>8</v>
      </c>
      <c r="G442" s="29" t="str">
        <f>"007.64/CL"</f>
        <v>007.64/CL</v>
      </c>
      <c r="H442" s="10" t="str">
        <f>"1996/02/23"</f>
        <v>1996/02/23</v>
      </c>
      <c r="I442" s="12">
        <v>5306</v>
      </c>
      <c r="J442" s="12">
        <v>100</v>
      </c>
      <c r="K442" s="10" t="str">
        <f t="shared" si="25"/>
        <v>2  洋書</v>
      </c>
      <c r="L442" s="13"/>
    </row>
    <row r="443" spans="1:12" ht="24" x14ac:dyDescent="0.15">
      <c r="A443" s="36">
        <v>442</v>
      </c>
      <c r="B443" s="3" t="s">
        <v>16</v>
      </c>
      <c r="C443" s="10" t="str">
        <f>"0001265057"</f>
        <v>0001265057</v>
      </c>
      <c r="D443" s="11" t="str">
        <f>"Programming in Prolog / W. F. Clocksin, C. S. Mellish ; : gw, : us.-- 4th ed.-- Springer-Verlag; c1994."</f>
        <v>Programming in Prolog / W. F. Clocksin, C. S. Mellish ; : gw, : us.-- 4th ed.-- Springer-Verlag; c1994.</v>
      </c>
      <c r="E443" s="11" t="str">
        <f>": gw"</f>
        <v>: gw</v>
      </c>
      <c r="F443" s="28" t="s">
        <v>8</v>
      </c>
      <c r="G443" s="29" t="str">
        <f>"007.64/CL"</f>
        <v>007.64/CL</v>
      </c>
      <c r="H443" s="10" t="str">
        <f>"1996/02/23"</f>
        <v>1996/02/23</v>
      </c>
      <c r="I443" s="12">
        <v>5306</v>
      </c>
      <c r="J443" s="12">
        <v>100</v>
      </c>
      <c r="K443" s="10" t="str">
        <f t="shared" si="25"/>
        <v>2  洋書</v>
      </c>
      <c r="L443" s="13"/>
    </row>
    <row r="444" spans="1:12" ht="36" x14ac:dyDescent="0.15">
      <c r="A444" s="36">
        <v>443</v>
      </c>
      <c r="B444" s="3" t="s">
        <v>16</v>
      </c>
      <c r="C444" s="4" t="str">
        <f>"0001272932"</f>
        <v>0001272932</v>
      </c>
      <c r="D444" s="5" t="str">
        <f>"Introduction to algorithms / Thomas H. Cormen, Charles E. Leiserson, Ronald L. Rivest ; : MIT Press, : MIT Press : pbk, : McGraw-Hill.-- MIT Press.-- (The MIT electrical engineering and computer science series)."</f>
        <v>Introduction to algorithms / Thomas H. Cormen, Charles E. Leiserson, Ronald L. Rivest ; : MIT Press, : MIT Press : pbk, : McGraw-Hill.-- MIT Press.-- (The MIT electrical engineering and computer science series).</v>
      </c>
      <c r="E444" s="5" t="str">
        <f>": MIT Press"</f>
        <v>: MIT Press</v>
      </c>
      <c r="F444" s="26"/>
      <c r="G444" s="27" t="str">
        <f>"007.64/CO"</f>
        <v>007.64/CO</v>
      </c>
      <c r="H444" s="4" t="str">
        <f>"1996/07/18"</f>
        <v>1996/07/18</v>
      </c>
      <c r="I444" s="6">
        <v>10604</v>
      </c>
      <c r="J444" s="8">
        <v>500</v>
      </c>
      <c r="K444" s="4" t="str">
        <f t="shared" si="25"/>
        <v>2  洋書</v>
      </c>
      <c r="L444" s="7"/>
    </row>
    <row r="445" spans="1:12" ht="24" x14ac:dyDescent="0.15">
      <c r="A445" s="36">
        <v>444</v>
      </c>
      <c r="B445" s="3" t="s">
        <v>16</v>
      </c>
      <c r="C445" s="10" t="str">
        <f>"0000850810"</f>
        <v>0000850810</v>
      </c>
      <c r="D445" s="11" t="str">
        <f>"Object-oriented programming / Peter Coad and Jill Nicola.-- Yourdon Press; c1993.-- (Yourdon Press computing series)."</f>
        <v>Object-oriented programming / Peter Coad and Jill Nicola.-- Yourdon Press; c1993.-- (Yourdon Press computing series).</v>
      </c>
      <c r="E445" s="11" t="str">
        <f>""</f>
        <v/>
      </c>
      <c r="F445" s="28" t="s">
        <v>8</v>
      </c>
      <c r="G445" s="29" t="str">
        <f>"007.64/CO"</f>
        <v>007.64/CO</v>
      </c>
      <c r="H445" s="10" t="str">
        <f>"1995/06/15"</f>
        <v>1995/06/15</v>
      </c>
      <c r="I445" s="12">
        <v>6618</v>
      </c>
      <c r="J445" s="12">
        <v>100</v>
      </c>
      <c r="K445" s="10" t="str">
        <f t="shared" si="25"/>
        <v>2  洋書</v>
      </c>
      <c r="L445" s="13"/>
    </row>
    <row r="446" spans="1:12" ht="24" x14ac:dyDescent="0.15">
      <c r="A446" s="36">
        <v>445</v>
      </c>
      <c r="B446" s="3" t="s">
        <v>16</v>
      </c>
      <c r="C446" s="10" t="str">
        <f>"0001272963"</f>
        <v>0001272963</v>
      </c>
      <c r="D446" s="11" t="str">
        <f>"Prolog programming in depth / Michael A. Covington, Donald Nute, Andr◆U00E9◆ Vellino.-- Prentice Hall; c1997."</f>
        <v>Prolog programming in depth / Michael A. Covington, Donald Nute, Andr◆U00E9◆ Vellino.-- Prentice Hall; c1997.</v>
      </c>
      <c r="E446" s="11" t="str">
        <f>""</f>
        <v/>
      </c>
      <c r="F446" s="28" t="s">
        <v>8</v>
      </c>
      <c r="G446" s="29" t="str">
        <f>"007.64/CO"</f>
        <v>007.64/CO</v>
      </c>
      <c r="H446" s="10" t="str">
        <f>"1996/07/18"</f>
        <v>1996/07/18</v>
      </c>
      <c r="I446" s="12">
        <v>5450</v>
      </c>
      <c r="J446" s="12">
        <v>100</v>
      </c>
      <c r="K446" s="10" t="str">
        <f t="shared" si="25"/>
        <v>2  洋書</v>
      </c>
      <c r="L446" s="13"/>
    </row>
    <row r="447" spans="1:12" ht="24" x14ac:dyDescent="0.15">
      <c r="A447" s="36">
        <v>446</v>
      </c>
      <c r="B447" s="3" t="s">
        <v>16</v>
      </c>
      <c r="C447" s="10" t="str">
        <f>"0001285178"</f>
        <v>0001285178</v>
      </c>
      <c r="D447" s="11" t="str">
        <f>"Natural language processing for Prolog programmers / Michael A. Covington.-- Prentice Hall; c1994."</f>
        <v>Natural language processing for Prolog programmers / Michael A. Covington.-- Prentice Hall; c1994.</v>
      </c>
      <c r="E447" s="11" t="str">
        <f>""</f>
        <v/>
      </c>
      <c r="F447" s="28" t="s">
        <v>8</v>
      </c>
      <c r="G447" s="29" t="str">
        <f>"007.64/CO"</f>
        <v>007.64/CO</v>
      </c>
      <c r="H447" s="10" t="str">
        <f>"1997/02/21"</f>
        <v>1997/02/21</v>
      </c>
      <c r="I447" s="12">
        <v>9288</v>
      </c>
      <c r="J447" s="12">
        <v>100</v>
      </c>
      <c r="K447" s="10" t="str">
        <f t="shared" si="25"/>
        <v>2  洋書</v>
      </c>
      <c r="L447" s="13"/>
    </row>
    <row r="448" spans="1:12" ht="24" x14ac:dyDescent="0.15">
      <c r="A448" s="36">
        <v>447</v>
      </c>
      <c r="B448" s="3" t="s">
        <v>16</v>
      </c>
      <c r="C448" s="10" t="str">
        <f>"0001692266"</f>
        <v>0001692266</v>
      </c>
      <c r="D448" s="11" t="str">
        <f>"Designing object-oriented user interfaces / Dave Collins.-- Benjamin Cummings; c1995."</f>
        <v>Designing object-oriented user interfaces / Dave Collins.-- Benjamin Cummings; c1995.</v>
      </c>
      <c r="E448" s="11" t="str">
        <f>""</f>
        <v/>
      </c>
      <c r="F448" s="28" t="s">
        <v>8</v>
      </c>
      <c r="G448" s="29" t="str">
        <f>"007.64/CO"</f>
        <v>007.64/CO</v>
      </c>
      <c r="H448" s="10" t="str">
        <f>"1999/05/11"</f>
        <v>1999/05/11</v>
      </c>
      <c r="I448" s="12">
        <v>9563</v>
      </c>
      <c r="J448" s="12">
        <v>100</v>
      </c>
      <c r="K448" s="10" t="str">
        <f t="shared" si="25"/>
        <v>2  洋書</v>
      </c>
      <c r="L448" s="13"/>
    </row>
    <row r="449" spans="1:12" ht="24" x14ac:dyDescent="0.15">
      <c r="A449" s="36">
        <v>448</v>
      </c>
      <c r="B449" s="3" t="s">
        <v>16</v>
      </c>
      <c r="C449" s="10" t="str">
        <f>"0001277098"</f>
        <v>0001277098</v>
      </c>
      <c r="D449" s="11" t="str">
        <f>"PROLOG for computer science / M.S. Dawe and C.M. Dawe ; : gw, : us.-- Springer-Verlag; c1994."</f>
        <v>PROLOG for computer science / M.S. Dawe and C.M. Dawe ; : gw, : us.-- Springer-Verlag; c1994.</v>
      </c>
      <c r="E449" s="11" t="str">
        <f>": gw"</f>
        <v>: gw</v>
      </c>
      <c r="F449" s="28" t="s">
        <v>8</v>
      </c>
      <c r="G449" s="29" t="str">
        <f>"007.64/DA"</f>
        <v>007.64/DA</v>
      </c>
      <c r="H449" s="10" t="str">
        <f>"1996/10/15"</f>
        <v>1996/10/15</v>
      </c>
      <c r="I449" s="12">
        <v>4514</v>
      </c>
      <c r="J449" s="12">
        <v>100</v>
      </c>
      <c r="K449" s="10" t="str">
        <f t="shared" si="25"/>
        <v>2  洋書</v>
      </c>
      <c r="L449" s="13"/>
    </row>
    <row r="450" spans="1:12" ht="36" x14ac:dyDescent="0.15">
      <c r="A450" s="36">
        <v>449</v>
      </c>
      <c r="B450" s="3" t="s">
        <v>16</v>
      </c>
      <c r="C450" s="10" t="str">
        <f>"0001271799"</f>
        <v>0001271799</v>
      </c>
      <c r="D450" s="11" t="str">
        <f>"Prolog : the standard : reference manual / P. Deransart, A. Ed-Dbali, L. Cervoni ; foreword by C. Biro, preface by R.S. Scowen.-- Springer; c1996."</f>
        <v>Prolog : the standard : reference manual / P. Deransart, A. Ed-Dbali, L. Cervoni ; foreword by C. Biro, preface by R.S. Scowen.-- Springer; c1996.</v>
      </c>
      <c r="E450" s="11" t="str">
        <f>""</f>
        <v/>
      </c>
      <c r="F450" s="28" t="s">
        <v>8</v>
      </c>
      <c r="G450" s="29" t="str">
        <f>"007.64/DE"</f>
        <v>007.64/DE</v>
      </c>
      <c r="H450" s="10" t="str">
        <f>"1996/07/05"</f>
        <v>1996/07/05</v>
      </c>
      <c r="I450" s="12">
        <v>6285</v>
      </c>
      <c r="J450" s="12">
        <v>100</v>
      </c>
      <c r="K450" s="10" t="str">
        <f t="shared" si="25"/>
        <v>2  洋書</v>
      </c>
      <c r="L450" s="13"/>
    </row>
    <row r="451" spans="1:12" ht="24" x14ac:dyDescent="0.15">
      <c r="A451" s="36">
        <v>450</v>
      </c>
      <c r="B451" s="3" t="s">
        <v>16</v>
      </c>
      <c r="C451" s="10" t="str">
        <f>"0000833080"</f>
        <v>0000833080</v>
      </c>
      <c r="D451" s="11" t="str">
        <f>"Z : an introduction to formal methods / Antoni Diller.-- 2nd ed.-- J. Wiley; 1994."</f>
        <v>Z : an introduction to formal methods / Antoni Diller.-- 2nd ed.-- J. Wiley; 1994.</v>
      </c>
      <c r="E451" s="11" t="str">
        <f>""</f>
        <v/>
      </c>
      <c r="F451" s="28" t="s">
        <v>8</v>
      </c>
      <c r="G451" s="29" t="str">
        <f>"007.64/DI"</f>
        <v>007.64/DI</v>
      </c>
      <c r="H451" s="10" t="str">
        <f>"1995/04/01"</f>
        <v>1995/04/01</v>
      </c>
      <c r="I451" s="12">
        <v>5005</v>
      </c>
      <c r="J451" s="12">
        <v>100</v>
      </c>
      <c r="K451" s="10" t="str">
        <f t="shared" si="25"/>
        <v>2  洋書</v>
      </c>
      <c r="L451" s="13"/>
    </row>
    <row r="452" spans="1:12" ht="24" x14ac:dyDescent="0.15">
      <c r="A452" s="36">
        <v>451</v>
      </c>
      <c r="B452" s="3" t="s">
        <v>16</v>
      </c>
      <c r="C452" s="10" t="str">
        <f>"0000473996"</f>
        <v>0000473996</v>
      </c>
      <c r="D452" s="11" t="str">
        <f>"Sed &amp; awk / Dale Dougherty.-- O'Reilly &amp; Associates; c1990.-- (A nutshell handbook)."</f>
        <v>Sed &amp; awk / Dale Dougherty.-- O'Reilly &amp; Associates; c1990.-- (A nutshell handbook).</v>
      </c>
      <c r="E452" s="11" t="str">
        <f>""</f>
        <v/>
      </c>
      <c r="F452" s="28" t="s">
        <v>8</v>
      </c>
      <c r="G452" s="29" t="str">
        <f>"007.64/DO"</f>
        <v>007.64/DO</v>
      </c>
      <c r="H452" s="10" t="str">
        <f>"1994/07/18"</f>
        <v>1994/07/18</v>
      </c>
      <c r="I452" s="12">
        <v>4662</v>
      </c>
      <c r="J452" s="12">
        <v>100</v>
      </c>
      <c r="K452" s="10" t="str">
        <f t="shared" si="25"/>
        <v>2  洋書</v>
      </c>
      <c r="L452" s="13"/>
    </row>
    <row r="453" spans="1:12" ht="24" x14ac:dyDescent="0.15">
      <c r="A453" s="36">
        <v>452</v>
      </c>
      <c r="B453" s="3" t="s">
        <v>16</v>
      </c>
      <c r="C453" s="4" t="str">
        <f>"0001670370"</f>
        <v>0001670370</v>
      </c>
      <c r="D453" s="5" t="str">
        <f>"Genetic algorithms and grouping problems / Emanuel Falkenauer ; : hard.-- Wiley; c1998."</f>
        <v>Genetic algorithms and grouping problems / Emanuel Falkenauer ; : hard.-- Wiley; c1998.</v>
      </c>
      <c r="E453" s="5" t="str">
        <f>": hard"</f>
        <v>: hard</v>
      </c>
      <c r="F453" s="26"/>
      <c r="G453" s="27" t="str">
        <f>"007.64/FA"</f>
        <v>007.64/FA</v>
      </c>
      <c r="H453" s="4" t="str">
        <f>"1998/04/10"</f>
        <v>1998/04/10</v>
      </c>
      <c r="I453" s="6">
        <v>11056</v>
      </c>
      <c r="J453" s="8">
        <v>500</v>
      </c>
      <c r="K453" s="4" t="str">
        <f t="shared" si="25"/>
        <v>2  洋書</v>
      </c>
      <c r="L453" s="7"/>
    </row>
    <row r="454" spans="1:12" ht="24" x14ac:dyDescent="0.15">
      <c r="A454" s="36">
        <v>453</v>
      </c>
      <c r="B454" s="3" t="s">
        <v>16</v>
      </c>
      <c r="C454" s="10" t="str">
        <f>"0000850858"</f>
        <v>0000850858</v>
      </c>
      <c r="D454" s="11" t="str">
        <f>"Software engineering concepts / Richard E. Fairley.-- McGraw-Hill; c1985.-- (McGraw-Hill series in software engineering and technology)."</f>
        <v>Software engineering concepts / Richard E. Fairley.-- McGraw-Hill; c1985.-- (McGraw-Hill series in software engineering and technology).</v>
      </c>
      <c r="E454" s="11" t="str">
        <f>""</f>
        <v/>
      </c>
      <c r="F454" s="28" t="s">
        <v>8</v>
      </c>
      <c r="G454" s="29" t="str">
        <f>"007.64/FA"</f>
        <v>007.64/FA</v>
      </c>
      <c r="H454" s="10" t="str">
        <f>"1995/06/15"</f>
        <v>1995/06/15</v>
      </c>
      <c r="I454" s="12">
        <v>6933</v>
      </c>
      <c r="J454" s="12">
        <v>100</v>
      </c>
      <c r="K454" s="10" t="str">
        <f t="shared" si="25"/>
        <v>2  洋書</v>
      </c>
      <c r="L454" s="13"/>
    </row>
    <row r="455" spans="1:12" ht="24" x14ac:dyDescent="0.15">
      <c r="A455" s="36">
        <v>454</v>
      </c>
      <c r="B455" s="3" t="s">
        <v>16</v>
      </c>
      <c r="C455" s="10" t="str">
        <f>"0000874984"</f>
        <v>0000874984</v>
      </c>
      <c r="D455" s="11" t="str">
        <f>"Practical data structures in C++ / Bryan Flamig.-- Wiley; c1993.-- (Coriolis group book)."</f>
        <v>Practical data structures in C++ / Bryan Flamig.-- Wiley; c1993.-- (Coriolis group book).</v>
      </c>
      <c r="E455" s="11" t="str">
        <f>""</f>
        <v/>
      </c>
      <c r="F455" s="28" t="s">
        <v>8</v>
      </c>
      <c r="G455" s="29" t="str">
        <f>"007.64/FL"</f>
        <v>007.64/FL</v>
      </c>
      <c r="H455" s="10" t="str">
        <f>"1995/10/03"</f>
        <v>1995/10/03</v>
      </c>
      <c r="I455" s="12">
        <v>5765</v>
      </c>
      <c r="J455" s="12">
        <v>100</v>
      </c>
      <c r="K455" s="10" t="str">
        <f t="shared" si="25"/>
        <v>2  洋書</v>
      </c>
      <c r="L455" s="13"/>
    </row>
    <row r="456" spans="1:12" ht="24" x14ac:dyDescent="0.15">
      <c r="A456" s="36">
        <v>455</v>
      </c>
      <c r="B456" s="3" t="s">
        <v>16</v>
      </c>
      <c r="C456" s="10" t="str">
        <f>"0001661149"</f>
        <v>0001661149</v>
      </c>
      <c r="D456" s="11" t="str">
        <f>"Java in a nutshell : a desktop quick reference / David Flanagan.-- 2nd ed.-- O'Reilly; c1997.-- (The Java series)."</f>
        <v>Java in a nutshell : a desktop quick reference / David Flanagan.-- 2nd ed.-- O'Reilly; c1997.-- (The Java series).</v>
      </c>
      <c r="E456" s="11" t="str">
        <f>""</f>
        <v/>
      </c>
      <c r="F456" s="28" t="s">
        <v>8</v>
      </c>
      <c r="G456" s="29" t="str">
        <f>"007.64/FL"</f>
        <v>007.64/FL</v>
      </c>
      <c r="H456" s="10" t="str">
        <f>"1997/11/20"</f>
        <v>1997/11/20</v>
      </c>
      <c r="I456" s="12">
        <v>3448</v>
      </c>
      <c r="J456" s="12">
        <v>100</v>
      </c>
      <c r="K456" s="10" t="str">
        <f t="shared" si="25"/>
        <v>2  洋書</v>
      </c>
      <c r="L456" s="13"/>
    </row>
    <row r="457" spans="1:12" ht="24" x14ac:dyDescent="0.15">
      <c r="A457" s="36">
        <v>456</v>
      </c>
      <c r="B457" s="3" t="s">
        <v>16</v>
      </c>
      <c r="C457" s="4" t="str">
        <f>"0001673111"</f>
        <v>0001673111</v>
      </c>
      <c r="D457" s="5" t="str">
        <f>"Evolutionary computation : the fossil record / edited by David B. Fogel.-- IEEE Press; c1998."</f>
        <v>Evolutionary computation : the fossil record / edited by David B. Fogel.-- IEEE Press; c1998.</v>
      </c>
      <c r="E457" s="5" t="str">
        <f>""</f>
        <v/>
      </c>
      <c r="F457" s="26"/>
      <c r="G457" s="27" t="str">
        <f>"007.64/FO"</f>
        <v>007.64/FO</v>
      </c>
      <c r="H457" s="4" t="str">
        <f>"1998/06/02"</f>
        <v>1998/06/02</v>
      </c>
      <c r="I457" s="6">
        <v>16915</v>
      </c>
      <c r="J457" s="8">
        <v>500</v>
      </c>
      <c r="K457" s="4" t="str">
        <f t="shared" si="25"/>
        <v>2  洋書</v>
      </c>
      <c r="L457" s="7"/>
    </row>
    <row r="458" spans="1:12" ht="24" x14ac:dyDescent="0.15">
      <c r="A458" s="36">
        <v>457</v>
      </c>
      <c r="B458" s="3" t="s">
        <v>16</v>
      </c>
      <c r="C458" s="10" t="str">
        <f>"0000877220"</f>
        <v>0000877220</v>
      </c>
      <c r="D458" s="11" t="str">
        <f>"Parallel computing : principles and practice / T.J. Fountain.-- Cambridge University Press; 1994."</f>
        <v>Parallel computing : principles and practice / T.J. Fountain.-- Cambridge University Press; 1994.</v>
      </c>
      <c r="E458" s="11" t="str">
        <f>""</f>
        <v/>
      </c>
      <c r="F458" s="28" t="s">
        <v>8</v>
      </c>
      <c r="G458" s="29" t="str">
        <f>"007.64/FO"</f>
        <v>007.64/FO</v>
      </c>
      <c r="H458" s="10" t="str">
        <f>"1995/10/03"</f>
        <v>1995/10/03</v>
      </c>
      <c r="I458" s="12">
        <v>6377</v>
      </c>
      <c r="J458" s="12">
        <v>100</v>
      </c>
      <c r="K458" s="10" t="str">
        <f t="shared" si="25"/>
        <v>2  洋書</v>
      </c>
      <c r="L458" s="13"/>
    </row>
    <row r="459" spans="1:12" ht="24" x14ac:dyDescent="0.15">
      <c r="A459" s="36">
        <v>458</v>
      </c>
      <c r="B459" s="3" t="s">
        <v>16</v>
      </c>
      <c r="C459" s="10" t="str">
        <f>"0001706864"</f>
        <v>0001706864</v>
      </c>
      <c r="D459" s="11" t="str">
        <f>"Designing and building parallel programs : concepts and tools for parallel software engineering / Ian T. Foster.-- Addison-Wesley; c1995."</f>
        <v>Designing and building parallel programs : concepts and tools for parallel software engineering / Ian T. Foster.-- Addison-Wesley; c1995.</v>
      </c>
      <c r="E459" s="11" t="str">
        <f>""</f>
        <v/>
      </c>
      <c r="F459" s="28" t="s">
        <v>8</v>
      </c>
      <c r="G459" s="29" t="str">
        <f>"007.64/FO"</f>
        <v>007.64/FO</v>
      </c>
      <c r="H459" s="10" t="str">
        <f>"1998/03/31"</f>
        <v>1998/03/31</v>
      </c>
      <c r="I459" s="12">
        <v>8241</v>
      </c>
      <c r="J459" s="12">
        <v>100</v>
      </c>
      <c r="K459" s="10" t="str">
        <f t="shared" si="25"/>
        <v>2  洋書</v>
      </c>
      <c r="L459" s="13"/>
    </row>
    <row r="460" spans="1:12" ht="36" x14ac:dyDescent="0.15">
      <c r="A460" s="36">
        <v>459</v>
      </c>
      <c r="B460" s="3" t="s">
        <v>16</v>
      </c>
      <c r="C460" s="10" t="str">
        <f>"0000886963"</f>
        <v>0000886963</v>
      </c>
      <c r="D460" s="11" t="str">
        <f>"Essentials of programming languages / Daniel P. Friedman, Mitchell Wand, Christopher T. Haynes ; foreword by Harold Abelson ; : MIT Press, : McGraw-Hill, : pbk.-- MIT Press."</f>
        <v>Essentials of programming languages / Daniel P. Friedman, Mitchell Wand, Christopher T. Haynes ; foreword by Harold Abelson ; : MIT Press, : McGraw-Hill, : pbk.-- MIT Press.</v>
      </c>
      <c r="E460" s="11" t="str">
        <f>": MIT Press"</f>
        <v>: MIT Press</v>
      </c>
      <c r="F460" s="28" t="s">
        <v>8</v>
      </c>
      <c r="G460" s="29" t="str">
        <f>"007.64/FR"</f>
        <v>007.64/FR</v>
      </c>
      <c r="H460" s="10" t="str">
        <f>"1995/12/19"</f>
        <v>1995/12/19</v>
      </c>
      <c r="I460" s="12">
        <v>10845</v>
      </c>
      <c r="J460" s="14">
        <v>500</v>
      </c>
      <c r="K460" s="10" t="str">
        <f t="shared" si="25"/>
        <v>2  洋書</v>
      </c>
      <c r="L460" s="13"/>
    </row>
    <row r="461" spans="1:12" ht="36" x14ac:dyDescent="0.15">
      <c r="A461" s="36">
        <v>460</v>
      </c>
      <c r="B461" s="3" t="s">
        <v>16</v>
      </c>
      <c r="C461" s="10" t="str">
        <f>"0001278163"</f>
        <v>0001278163</v>
      </c>
      <c r="D461" s="11" t="str">
        <f>"Natural language processing in Prolog : an introduction to computational linguistics / Gerald Gazdar, Chris Mellish.-- Addison-Wesley Pub. Co.; 1989."</f>
        <v>Natural language processing in Prolog : an introduction to computational linguistics / Gerald Gazdar, Chris Mellish.-- Addison-Wesley Pub. Co.; 1989.</v>
      </c>
      <c r="E461" s="11" t="str">
        <f>""</f>
        <v/>
      </c>
      <c r="F461" s="28" t="s">
        <v>8</v>
      </c>
      <c r="G461" s="29" t="str">
        <f>"007.64/GA"</f>
        <v>007.64/GA</v>
      </c>
      <c r="H461" s="10" t="str">
        <f>"1996/10/23"</f>
        <v>1996/10/23</v>
      </c>
      <c r="I461" s="12">
        <v>5219</v>
      </c>
      <c r="J461" s="12">
        <v>100</v>
      </c>
      <c r="K461" s="10" t="str">
        <f t="shared" si="25"/>
        <v>2  洋書</v>
      </c>
      <c r="L461" s="13"/>
    </row>
    <row r="462" spans="1:12" ht="36" x14ac:dyDescent="0.15">
      <c r="A462" s="36">
        <v>461</v>
      </c>
      <c r="B462" s="3" t="s">
        <v>16</v>
      </c>
      <c r="C462" s="10" t="str">
        <f>"0000555388"</f>
        <v>0000555388</v>
      </c>
      <c r="D462" s="11" t="str">
        <f>"C : an advanced introduction : ANSI C edition / Narain Gehani ; :pbk.-- Computer Science Press; c1988.-- (Principles of computer science series)."</f>
        <v>C : an advanced introduction : ANSI C edition / Narain Gehani ; :pbk.-- Computer Science Press; c1988.-- (Principles of computer science series).</v>
      </c>
      <c r="E462" s="11" t="str">
        <f>":pbk"</f>
        <v>:pbk</v>
      </c>
      <c r="F462" s="28" t="s">
        <v>8</v>
      </c>
      <c r="G462" s="29" t="str">
        <f>"007.64/GE"</f>
        <v>007.64/GE</v>
      </c>
      <c r="H462" s="10" t="str">
        <f>"1995/04/21"</f>
        <v>1995/04/21</v>
      </c>
      <c r="I462" s="12">
        <v>5024</v>
      </c>
      <c r="J462" s="12">
        <v>100</v>
      </c>
      <c r="K462" s="10" t="str">
        <f t="shared" si="25"/>
        <v>2  洋書</v>
      </c>
      <c r="L462" s="13"/>
    </row>
    <row r="463" spans="1:12" ht="24" x14ac:dyDescent="0.15">
      <c r="A463" s="36">
        <v>462</v>
      </c>
      <c r="B463" s="3" t="s">
        <v>16</v>
      </c>
      <c r="C463" s="10" t="str">
        <f>"0001294071"</f>
        <v>0001294071</v>
      </c>
      <c r="D463" s="11" t="str">
        <f>"Graphic Java : mastering the AWT / David M. Geary, Alan L. McClellan ; : pbk.-- SunSoft Press.-- (The SunSoft Press JAVA series)."</f>
        <v>Graphic Java : mastering the AWT / David M. Geary, Alan L. McClellan ; : pbk.-- SunSoft Press.-- (The SunSoft Press JAVA series).</v>
      </c>
      <c r="E463" s="11" t="str">
        <f>": pbk"</f>
        <v>: pbk</v>
      </c>
      <c r="F463" s="28" t="s">
        <v>8</v>
      </c>
      <c r="G463" s="29" t="str">
        <f>"007.64/GE"</f>
        <v>007.64/GE</v>
      </c>
      <c r="H463" s="10" t="str">
        <f>"1997/06/27"</f>
        <v>1997/06/27</v>
      </c>
      <c r="I463" s="12">
        <v>6303</v>
      </c>
      <c r="J463" s="12">
        <v>100</v>
      </c>
      <c r="K463" s="10" t="str">
        <f t="shared" si="25"/>
        <v>2  洋書</v>
      </c>
      <c r="L463" s="13"/>
    </row>
    <row r="464" spans="1:12" ht="24" x14ac:dyDescent="0.15">
      <c r="A464" s="36">
        <v>463</v>
      </c>
      <c r="B464" s="3" t="s">
        <v>16</v>
      </c>
      <c r="C464" s="4" t="str">
        <f>"0001287974"</f>
        <v>0001287974</v>
      </c>
      <c r="D464" s="5" t="str">
        <f>"Genetic algorithms in search, optimization, and machine learning / David E. Goldberg.-- Addison-Wesley; c1989."</f>
        <v>Genetic algorithms in search, optimization, and machine learning / David E. Goldberg.-- Addison-Wesley; c1989.</v>
      </c>
      <c r="E464" s="5" t="str">
        <f>""</f>
        <v/>
      </c>
      <c r="F464" s="26"/>
      <c r="G464" s="27" t="str">
        <f>"007.64/GO"</f>
        <v>007.64/GO</v>
      </c>
      <c r="H464" s="4" t="str">
        <f>"1997/04/09"</f>
        <v>1997/04/09</v>
      </c>
      <c r="I464" s="6">
        <v>7900</v>
      </c>
      <c r="J464" s="6">
        <v>100</v>
      </c>
      <c r="K464" s="4" t="str">
        <f t="shared" si="25"/>
        <v>2  洋書</v>
      </c>
      <c r="L464" s="7"/>
    </row>
    <row r="465" spans="1:12" ht="48" x14ac:dyDescent="0.15">
      <c r="A465" s="36">
        <v>464</v>
      </c>
      <c r="B465" s="3" t="s">
        <v>16</v>
      </c>
      <c r="C465" s="10" t="str">
        <f>"0000870597"</f>
        <v>0000870597</v>
      </c>
      <c r="D465" s="11" t="str">
        <f>"Theoretical aspects of object-oriented programming : types, semantics, and language design / edited by Carl A. Gunter and John C. Mitchell.-- MIT Press; c1994.-- (MIT Press series in the foundations of computing)."</f>
        <v>Theoretical aspects of object-oriented programming : types, semantics, and language design / edited by Carl A. Gunter and John C. Mitchell.-- MIT Press; c1994.-- (MIT Press series in the foundations of computing).</v>
      </c>
      <c r="E465" s="11" t="str">
        <f>""</f>
        <v/>
      </c>
      <c r="F465" s="28" t="s">
        <v>8</v>
      </c>
      <c r="G465" s="29" t="str">
        <f>"007.64/GU"</f>
        <v>007.64/GU</v>
      </c>
      <c r="H465" s="10" t="str">
        <f>"1995/08/30"</f>
        <v>1995/08/30</v>
      </c>
      <c r="I465" s="12">
        <v>7128</v>
      </c>
      <c r="J465" s="12">
        <v>100</v>
      </c>
      <c r="K465" s="10" t="str">
        <f t="shared" si="25"/>
        <v>2  洋書</v>
      </c>
      <c r="L465" s="13"/>
    </row>
    <row r="466" spans="1:12" ht="24" x14ac:dyDescent="0.15">
      <c r="A466" s="36">
        <v>465</v>
      </c>
      <c r="B466" s="3" t="s">
        <v>16</v>
      </c>
      <c r="C466" s="10" t="str">
        <f>"0001674798"</f>
        <v>0001674798</v>
      </c>
      <c r="D466" s="11" t="str">
        <f>"CGI programming on the World Wide Web / Shishir Gundavaram.-- O'Reilly &amp; Associates; 1996.-- (A nutshell handbook)."</f>
        <v>CGI programming on the World Wide Web / Shishir Gundavaram.-- O'Reilly &amp; Associates; 1996.-- (A nutshell handbook).</v>
      </c>
      <c r="E466" s="11" t="str">
        <f>""</f>
        <v/>
      </c>
      <c r="F466" s="28" t="s">
        <v>8</v>
      </c>
      <c r="G466" s="29" t="str">
        <f>"007.64/GU"</f>
        <v>007.64/GU</v>
      </c>
      <c r="H466" s="10" t="str">
        <f>"1998/04/21"</f>
        <v>1998/04/21</v>
      </c>
      <c r="I466" s="12">
        <v>6350</v>
      </c>
      <c r="J466" s="12">
        <v>100</v>
      </c>
      <c r="K466" s="10" t="str">
        <f t="shared" si="25"/>
        <v>2  洋書</v>
      </c>
      <c r="L466" s="13"/>
    </row>
    <row r="467" spans="1:12" ht="24" x14ac:dyDescent="0.15">
      <c r="A467" s="36">
        <v>466</v>
      </c>
      <c r="B467" s="3" t="s">
        <v>16</v>
      </c>
      <c r="C467" s="10" t="str">
        <f>"0000870382"</f>
        <v>0000870382</v>
      </c>
      <c r="D467" s="11" t="str">
        <f>"The G◆U00F6◆del programming language / Patricia Hill, John Lloyd.-- MIT Press; c1994.-- (Logic programming)."</f>
        <v>The G◆U00F6◆del programming language / Patricia Hill, John Lloyd.-- MIT Press; c1994.-- (Logic programming).</v>
      </c>
      <c r="E467" s="11" t="str">
        <f>""</f>
        <v/>
      </c>
      <c r="F467" s="28" t="s">
        <v>8</v>
      </c>
      <c r="G467" s="29" t="str">
        <f>"007.64/HI"</f>
        <v>007.64/HI</v>
      </c>
      <c r="H467" s="10" t="str">
        <f>"1995/08/30"</f>
        <v>1995/08/30</v>
      </c>
      <c r="I467" s="12">
        <v>7128</v>
      </c>
      <c r="J467" s="12">
        <v>100</v>
      </c>
      <c r="K467" s="10" t="str">
        <f t="shared" si="25"/>
        <v>2  洋書</v>
      </c>
      <c r="L467" s="13"/>
    </row>
    <row r="468" spans="1:12" ht="36" x14ac:dyDescent="0.15">
      <c r="A468" s="36">
        <v>467</v>
      </c>
      <c r="B468" s="3" t="s">
        <v>16</v>
      </c>
      <c r="C468" s="10" t="str">
        <f>"0001265613"</f>
        <v>0001265613</v>
      </c>
      <c r="D468" s="11" t="str">
        <f>"Mastering C++ : an introduction to C++ and object-oriented programming for C and Pascal programmers / Cay S. Horstmann.-- 2nd ed.-- John Wiley &amp; Sons; c1996."</f>
        <v>Mastering C++ : an introduction to C++ and object-oriented programming for C and Pascal programmers / Cay S. Horstmann.-- 2nd ed.-- John Wiley &amp; Sons; c1996.</v>
      </c>
      <c r="E468" s="11" t="str">
        <f>""</f>
        <v/>
      </c>
      <c r="F468" s="28" t="s">
        <v>8</v>
      </c>
      <c r="G468" s="29" t="str">
        <f>"007.64/HO"</f>
        <v>007.64/HO</v>
      </c>
      <c r="H468" s="10" t="str">
        <f>"1996/03/21"</f>
        <v>1996/03/21</v>
      </c>
      <c r="I468" s="12">
        <v>5883</v>
      </c>
      <c r="J468" s="12">
        <v>100</v>
      </c>
      <c r="K468" s="10" t="str">
        <f t="shared" si="25"/>
        <v>2  洋書</v>
      </c>
      <c r="L468" s="13"/>
    </row>
    <row r="469" spans="1:12" ht="24" x14ac:dyDescent="0.15">
      <c r="A469" s="36">
        <v>468</v>
      </c>
      <c r="B469" s="3" t="s">
        <v>16</v>
      </c>
      <c r="C469" s="10" t="str">
        <f>"0001285710"</f>
        <v>0001285710</v>
      </c>
      <c r="D469" s="11" t="str">
        <f>"Object-oriented compiler construction / Jim Holmes.-- Prentice Hall; c1995."</f>
        <v>Object-oriented compiler construction / Jim Holmes.-- Prentice Hall; c1995.</v>
      </c>
      <c r="E469" s="11" t="str">
        <f>""</f>
        <v/>
      </c>
      <c r="F469" s="28" t="s">
        <v>8</v>
      </c>
      <c r="G469" s="29" t="str">
        <f>"007.64/HO"</f>
        <v>007.64/HO</v>
      </c>
      <c r="H469" s="10" t="str">
        <f>"1997/02/28"</f>
        <v>1997/02/28</v>
      </c>
      <c r="I469" s="12">
        <v>11847</v>
      </c>
      <c r="J469" s="14">
        <v>500</v>
      </c>
      <c r="K469" s="10" t="str">
        <f t="shared" si="25"/>
        <v>2  洋書</v>
      </c>
      <c r="L469" s="13"/>
    </row>
    <row r="470" spans="1:12" ht="24" x14ac:dyDescent="0.15">
      <c r="A470" s="36">
        <v>469</v>
      </c>
      <c r="B470" s="3" t="s">
        <v>16</v>
      </c>
      <c r="C470" s="10" t="str">
        <f>"0001285154"</f>
        <v>0001285154</v>
      </c>
      <c r="D470" s="11" t="str">
        <f>"Collection and container classes in C++ / Cameron Hughes, Tracey Hughes ; : paper/disk.-- John Wiley; c1996."</f>
        <v>Collection and container classes in C++ / Cameron Hughes, Tracey Hughes ; : paper/disk.-- John Wiley; c1996.</v>
      </c>
      <c r="E470" s="11" t="str">
        <f>": paper/disk"</f>
        <v>: paper/disk</v>
      </c>
      <c r="F470" s="28" t="s">
        <v>8</v>
      </c>
      <c r="G470" s="29" t="str">
        <f>"007.64/HU"</f>
        <v>007.64/HU</v>
      </c>
      <c r="H470" s="10" t="str">
        <f>"1997/02/21"</f>
        <v>1997/02/21</v>
      </c>
      <c r="I470" s="12">
        <v>8287</v>
      </c>
      <c r="J470" s="12">
        <v>100</v>
      </c>
      <c r="K470" s="10" t="str">
        <f t="shared" si="25"/>
        <v>2  洋書</v>
      </c>
      <c r="L470" s="13"/>
    </row>
    <row r="471" spans="1:12" ht="24" x14ac:dyDescent="0.15">
      <c r="A471" s="36">
        <v>470</v>
      </c>
      <c r="B471" s="3" t="s">
        <v>16</v>
      </c>
      <c r="C471" s="10" t="str">
        <f>"0001661026"</f>
        <v>0001661026</v>
      </c>
      <c r="D471" s="11" t="str">
        <f>"Object-oriented multithreading using C++ / Cameron Hughes and Tracey Hughes ; : paper/disk.-- J. Wiley; c1997."</f>
        <v>Object-oriented multithreading using C++ / Cameron Hughes and Tracey Hughes ; : paper/disk.-- J. Wiley; c1997.</v>
      </c>
      <c r="E471" s="11" t="str">
        <f>": paper/disk"</f>
        <v>: paper/disk</v>
      </c>
      <c r="F471" s="28" t="s">
        <v>8</v>
      </c>
      <c r="G471" s="29" t="str">
        <f>"007.64/HU"</f>
        <v>007.64/HU</v>
      </c>
      <c r="H471" s="10" t="str">
        <f>"1997/11/20"</f>
        <v>1997/11/20</v>
      </c>
      <c r="I471" s="12">
        <v>8644</v>
      </c>
      <c r="J471" s="12">
        <v>100</v>
      </c>
      <c r="K471" s="10" t="str">
        <f t="shared" si="25"/>
        <v>2  洋書</v>
      </c>
      <c r="L471" s="13"/>
    </row>
    <row r="472" spans="1:12" ht="24" x14ac:dyDescent="0.15">
      <c r="A472" s="36">
        <v>471</v>
      </c>
      <c r="B472" s="3" t="s">
        <v>16</v>
      </c>
      <c r="C472" s="10" t="str">
        <f>"0001670004"</f>
        <v>0001670004</v>
      </c>
      <c r="D472" s="11" t="str">
        <f>"Readings in agents / edited by Michael N. Huhns, Munindar P. Singh.-- Morgan Kaufmann; c1998."</f>
        <v>Readings in agents / edited by Michael N. Huhns, Munindar P. Singh.-- Morgan Kaufmann; c1998.</v>
      </c>
      <c r="E472" s="11" t="str">
        <f>""</f>
        <v/>
      </c>
      <c r="F472" s="28" t="s">
        <v>8</v>
      </c>
      <c r="G472" s="29" t="str">
        <f>"007.64/HU"</f>
        <v>007.64/HU</v>
      </c>
      <c r="H472" s="10" t="str">
        <f>"1998/04/09"</f>
        <v>1998/04/09</v>
      </c>
      <c r="I472" s="12">
        <v>9865</v>
      </c>
      <c r="J472" s="12">
        <v>100</v>
      </c>
      <c r="K472" s="10" t="str">
        <f t="shared" si="25"/>
        <v>2  洋書</v>
      </c>
      <c r="L472" s="13"/>
    </row>
    <row r="473" spans="1:12" ht="24" x14ac:dyDescent="0.15">
      <c r="A473" s="36">
        <v>472</v>
      </c>
      <c r="B473" s="3" t="s">
        <v>16</v>
      </c>
      <c r="C473" s="10" t="str">
        <f>"0000544351"</f>
        <v>0000544351</v>
      </c>
      <c r="D473" s="11" t="str">
        <f>"Implementations of logic programming systems / edited by Evan Tick, Giancarlo Succi.-- Kluwer Academic Publishers; 1994."</f>
        <v>Implementations of logic programming systems / edited by Evan Tick, Giancarlo Succi.-- Kluwer Academic Publishers; 1994.</v>
      </c>
      <c r="E473" s="11" t="str">
        <f>""</f>
        <v/>
      </c>
      <c r="F473" s="28" t="s">
        <v>8</v>
      </c>
      <c r="G473" s="29" t="str">
        <f>"007.64/IM"</f>
        <v>007.64/IM</v>
      </c>
      <c r="H473" s="10" t="str">
        <f>"1995/03/23"</f>
        <v>1995/03/23</v>
      </c>
      <c r="I473" s="12">
        <v>1</v>
      </c>
      <c r="J473" s="12">
        <v>100</v>
      </c>
      <c r="K473" s="10" t="str">
        <f t="shared" si="25"/>
        <v>2  洋書</v>
      </c>
      <c r="L473" s="13"/>
    </row>
    <row r="474" spans="1:12" ht="24" x14ac:dyDescent="0.15">
      <c r="A474" s="36">
        <v>473</v>
      </c>
      <c r="B474" s="3" t="s">
        <v>16</v>
      </c>
      <c r="C474" s="10" t="str">
        <f>"0000851749"</f>
        <v>0000851749</v>
      </c>
      <c r="D474" s="11" t="str">
        <f>"Constructing logic programs / edited by Jean-Marie Jacquet.-- Wiley; c1993.-- (Wiley professional computing)."</f>
        <v>Constructing logic programs / edited by Jean-Marie Jacquet.-- Wiley; c1993.-- (Wiley professional computing).</v>
      </c>
      <c r="E474" s="11" t="str">
        <f>""</f>
        <v/>
      </c>
      <c r="F474" s="28" t="s">
        <v>8</v>
      </c>
      <c r="G474" s="29" t="str">
        <f>"007.64/JA"</f>
        <v>007.64/JA</v>
      </c>
      <c r="H474" s="10" t="str">
        <f>"1995/06/15"</f>
        <v>1995/06/15</v>
      </c>
      <c r="I474" s="12">
        <v>5209</v>
      </c>
      <c r="J474" s="12">
        <v>100</v>
      </c>
      <c r="K474" s="10" t="str">
        <f t="shared" si="25"/>
        <v>2  洋書</v>
      </c>
      <c r="L474" s="13"/>
    </row>
    <row r="475" spans="1:12" ht="24" x14ac:dyDescent="0.15">
      <c r="A475" s="36">
        <v>474</v>
      </c>
      <c r="B475" s="3" t="s">
        <v>16</v>
      </c>
      <c r="C475" s="10" t="str">
        <f>"0000872423"</f>
        <v>0000872423</v>
      </c>
      <c r="D475" s="11" t="str">
        <f>"Constructing logic programs / edited by Jean-Marie Jacquet.-- Wiley; c1993.-- (Wiley professional computing)."</f>
        <v>Constructing logic programs / edited by Jean-Marie Jacquet.-- Wiley; c1993.-- (Wiley professional computing).</v>
      </c>
      <c r="E475" s="11" t="str">
        <f>""</f>
        <v/>
      </c>
      <c r="F475" s="28" t="s">
        <v>8</v>
      </c>
      <c r="G475" s="29" t="str">
        <f>"007.64/JA"</f>
        <v>007.64/JA</v>
      </c>
      <c r="H475" s="10" t="str">
        <f>"1995/09/25"</f>
        <v>1995/09/25</v>
      </c>
      <c r="I475" s="12">
        <v>5033</v>
      </c>
      <c r="J475" s="12">
        <v>100</v>
      </c>
      <c r="K475" s="10" t="str">
        <f t="shared" si="25"/>
        <v>2  洋書</v>
      </c>
      <c r="L475" s="13"/>
    </row>
    <row r="476" spans="1:12" ht="24" x14ac:dyDescent="0.15">
      <c r="A476" s="36">
        <v>475</v>
      </c>
      <c r="B476" s="3" t="s">
        <v>16</v>
      </c>
      <c r="C476" s="10" t="str">
        <f>"0002283739"</f>
        <v>0002283739</v>
      </c>
      <c r="D476" s="11" t="str">
        <f>"Object-oriented software development using Java : principles, patterns, and frameworks / Xiaoping Jia.-- Addison-Wesley; c2000."</f>
        <v>Object-oriented software development using Java : principles, patterns, and frameworks / Xiaoping Jia.-- Addison-Wesley; c2000.</v>
      </c>
      <c r="E476" s="11" t="str">
        <f>""</f>
        <v/>
      </c>
      <c r="F476" s="28" t="s">
        <v>8</v>
      </c>
      <c r="G476" s="29" t="str">
        <f>"007.64/JI"</f>
        <v>007.64/JI</v>
      </c>
      <c r="H476" s="10" t="str">
        <f>"2002/06/11"</f>
        <v>2002/06/11</v>
      </c>
      <c r="I476" s="12">
        <v>11188</v>
      </c>
      <c r="J476" s="14">
        <v>500</v>
      </c>
      <c r="K476" s="10" t="str">
        <f t="shared" si="25"/>
        <v>2  洋書</v>
      </c>
      <c r="L476" s="13"/>
    </row>
    <row r="477" spans="1:12" ht="36" x14ac:dyDescent="0.15">
      <c r="A477" s="36">
        <v>476</v>
      </c>
      <c r="B477" s="3" t="s">
        <v>16</v>
      </c>
      <c r="C477" s="10" t="str">
        <f>"0000458924"</f>
        <v>0000458924</v>
      </c>
      <c r="D477" s="11" t="str">
        <f>"The C programming language / Brian W. Kernighan, Dennis M. Ritchie ; : pbk.-- 2nd ed.-- Prentice Hall; c1988.-- (Prentice-Hall software series)."</f>
        <v>The C programming language / Brian W. Kernighan, Dennis M. Ritchie ; : pbk.-- 2nd ed.-- Prentice Hall; c1988.-- (Prentice-Hall software series).</v>
      </c>
      <c r="E477" s="11" t="str">
        <f>": pbk"</f>
        <v>: pbk</v>
      </c>
      <c r="F477" s="28" t="s">
        <v>8</v>
      </c>
      <c r="G477" s="29" t="str">
        <f>"007.64/KE"</f>
        <v>007.64/KE</v>
      </c>
      <c r="H477" s="10" t="str">
        <f>"1994/06/17"</f>
        <v>1994/06/17</v>
      </c>
      <c r="I477" s="12">
        <v>6164</v>
      </c>
      <c r="J477" s="12">
        <v>100</v>
      </c>
      <c r="K477" s="10" t="str">
        <f t="shared" si="25"/>
        <v>2  洋書</v>
      </c>
      <c r="L477" s="13"/>
    </row>
    <row r="478" spans="1:12" ht="24" x14ac:dyDescent="0.15">
      <c r="A478" s="36">
        <v>477</v>
      </c>
      <c r="B478" s="3" t="s">
        <v>16</v>
      </c>
      <c r="C478" s="4" t="str">
        <f>"0000502498"</f>
        <v>0000502498</v>
      </c>
      <c r="D478" s="5" t="str">
        <f>"Advances in genetic programming / edited by Kenneth E. Kinnear, Jr. ; [v. 1], v. 2, v. 3.-- MIT Press; c1994-.-- (Complex adaptive systems)."</f>
        <v>Advances in genetic programming / edited by Kenneth E. Kinnear, Jr. ; [v. 1], v. 2, v. 3.-- MIT Press; c1994-.-- (Complex adaptive systems).</v>
      </c>
      <c r="E478" s="5" t="str">
        <f>"[v. 1]"</f>
        <v>[v. 1]</v>
      </c>
      <c r="F478" s="26"/>
      <c r="G478" s="27" t="str">
        <f>"007.64/KI/1"</f>
        <v>007.64/KI/1</v>
      </c>
      <c r="H478" s="4" t="str">
        <f>"1994/11/09"</f>
        <v>1994/11/09</v>
      </c>
      <c r="I478" s="6">
        <v>8759</v>
      </c>
      <c r="J478" s="6">
        <v>100</v>
      </c>
      <c r="K478" s="4" t="str">
        <f t="shared" si="25"/>
        <v>2  洋書</v>
      </c>
      <c r="L478" s="7"/>
    </row>
    <row r="479" spans="1:12" ht="36" x14ac:dyDescent="0.15">
      <c r="A479" s="36">
        <v>478</v>
      </c>
      <c r="B479" s="3" t="s">
        <v>16</v>
      </c>
      <c r="C479" s="4" t="str">
        <f>"0000485722"</f>
        <v>0000485722</v>
      </c>
      <c r="D479" s="5" t="str">
        <f>"Genetic programming : on the programming of computers by means of natural selection / John R. Koza ; [1], 2.-- MIT Press; c1992-c1994.-- (Complex adaptive systems)."</f>
        <v>Genetic programming : on the programming of computers by means of natural selection / John R. Koza ; [1], 2.-- MIT Press; c1992-c1994.-- (Complex adaptive systems).</v>
      </c>
      <c r="E479" s="5" t="str">
        <f>"[1]"</f>
        <v>[1]</v>
      </c>
      <c r="F479" s="26"/>
      <c r="G479" s="27" t="str">
        <f>"007.64/KO"</f>
        <v>007.64/KO</v>
      </c>
      <c r="H479" s="4" t="str">
        <f>"1994/09/30"</f>
        <v>1994/09/30</v>
      </c>
      <c r="I479" s="6">
        <v>12978</v>
      </c>
      <c r="J479" s="8">
        <v>500</v>
      </c>
      <c r="K479" s="4" t="str">
        <f t="shared" si="25"/>
        <v>2  洋書</v>
      </c>
      <c r="L479" s="7"/>
    </row>
    <row r="480" spans="1:12" ht="36" x14ac:dyDescent="0.15">
      <c r="A480" s="36">
        <v>479</v>
      </c>
      <c r="B480" s="3" t="s">
        <v>16</v>
      </c>
      <c r="C480" s="10" t="str">
        <f>"0001288100"</f>
        <v>0001288100</v>
      </c>
      <c r="D480" s="11" t="str">
        <f>"Large-scale C++ software design / John Lakos ; : pbk..-- Addison-Wesley Pub. Co.; c1996.-- (Addison-Wesley professional computing series)."</f>
        <v>Large-scale C++ software design / John Lakos ; : pbk..-- Addison-Wesley Pub. Co.; c1996.-- (Addison-Wesley professional computing series).</v>
      </c>
      <c r="E480" s="11" t="str">
        <f>": pbk."</f>
        <v>: pbk.</v>
      </c>
      <c r="F480" s="28" t="s">
        <v>8</v>
      </c>
      <c r="G480" s="29" t="str">
        <f>"007.64/LA"</f>
        <v>007.64/LA</v>
      </c>
      <c r="H480" s="10" t="str">
        <f>"1997/04/15"</f>
        <v>1997/04/15</v>
      </c>
      <c r="I480" s="12">
        <v>6492</v>
      </c>
      <c r="J480" s="12">
        <v>100</v>
      </c>
      <c r="K480" s="10" t="str">
        <f t="shared" si="25"/>
        <v>2  洋書</v>
      </c>
      <c r="L480" s="13"/>
    </row>
    <row r="481" spans="1:12" ht="36" x14ac:dyDescent="0.15">
      <c r="A481" s="36">
        <v>480</v>
      </c>
      <c r="B481" s="3" t="s">
        <v>16</v>
      </c>
      <c r="C481" s="10" t="str">
        <f>"0001675795"</f>
        <v>0001675795</v>
      </c>
      <c r="D481" s="11" t="str">
        <f>"The Netscape programmer's guide : using OLE to build componentware Apps / Richard B. Lam ; [foreword by Bruce F. Webster] ; pbk. : alk. paper.-- Cambridge University Press.-- (SIGC reference library ; 11)."</f>
        <v>The Netscape programmer's guide : using OLE to build componentware Apps / Richard B. Lam ; [foreword by Bruce F. Webster] ; pbk. : alk. paper.-- Cambridge University Press.-- (SIGC reference library ; 11).</v>
      </c>
      <c r="E481" s="11" t="str">
        <f>"pbk. : alk. paper"</f>
        <v>pbk. : alk. paper</v>
      </c>
      <c r="F481" s="28" t="s">
        <v>8</v>
      </c>
      <c r="G481" s="29" t="str">
        <f>"007.64/LA"</f>
        <v>007.64/LA</v>
      </c>
      <c r="H481" s="10" t="str">
        <f>"1998/07/22"</f>
        <v>1998/07/22</v>
      </c>
      <c r="I481" s="12">
        <v>10017</v>
      </c>
      <c r="J481" s="14">
        <v>500</v>
      </c>
      <c r="K481" s="10" t="str">
        <f t="shared" si="25"/>
        <v>2  洋書</v>
      </c>
      <c r="L481" s="13"/>
    </row>
    <row r="482" spans="1:12" ht="24" x14ac:dyDescent="0.15">
      <c r="A482" s="36">
        <v>481</v>
      </c>
      <c r="B482" s="3" t="s">
        <v>16</v>
      </c>
      <c r="C482" s="10" t="str">
        <f>"0000500302"</f>
        <v>0000500302</v>
      </c>
      <c r="D482" s="11" t="str">
        <f>"Techniques of Prolog programming : with implementation of logical negation and quantified goals / T. van Le ; : pbk..-- Wiley; c1993."</f>
        <v>Techniques of Prolog programming : with implementation of logical negation and quantified goals / T. van Le ; : pbk..-- Wiley; c1993.</v>
      </c>
      <c r="E482" s="11" t="str">
        <f>": pbk."</f>
        <v>: pbk.</v>
      </c>
      <c r="F482" s="28" t="s">
        <v>8</v>
      </c>
      <c r="G482" s="29" t="str">
        <f t="shared" ref="G482:G487" si="26">"007.64/LE"</f>
        <v>007.64/LE</v>
      </c>
      <c r="H482" s="10" t="str">
        <f>"1994/11/17"</f>
        <v>1994/11/17</v>
      </c>
      <c r="I482" s="12">
        <v>1</v>
      </c>
      <c r="J482" s="12">
        <v>100</v>
      </c>
      <c r="K482" s="10" t="str">
        <f t="shared" si="25"/>
        <v>2  洋書</v>
      </c>
      <c r="L482" s="13"/>
    </row>
    <row r="483" spans="1:12" ht="24" x14ac:dyDescent="0.15">
      <c r="A483" s="36">
        <v>482</v>
      </c>
      <c r="B483" s="3" t="s">
        <v>16</v>
      </c>
      <c r="C483" s="10" t="str">
        <f>"0000862608"</f>
        <v>0000862608</v>
      </c>
      <c r="D483" s="11" t="str">
        <f>"Advances in logic programming theory / edited by Giorgio Levi.-- Clarendon Press.-- (International schools for computer scientists)."</f>
        <v>Advances in logic programming theory / edited by Giorgio Levi.-- Clarendon Press.-- (International schools for computer scientists).</v>
      </c>
      <c r="E483" s="11" t="str">
        <f>""</f>
        <v/>
      </c>
      <c r="F483" s="28" t="s">
        <v>8</v>
      </c>
      <c r="G483" s="29" t="str">
        <f t="shared" si="26"/>
        <v>007.64/LE</v>
      </c>
      <c r="H483" s="10" t="str">
        <f>"1995/07/21"</f>
        <v>1995/07/21</v>
      </c>
      <c r="I483" s="12">
        <v>9594</v>
      </c>
      <c r="J483" s="12">
        <v>100</v>
      </c>
      <c r="K483" s="10" t="str">
        <f t="shared" si="25"/>
        <v>2  洋書</v>
      </c>
      <c r="L483" s="13"/>
    </row>
    <row r="484" spans="1:12" ht="24" x14ac:dyDescent="0.15">
      <c r="A484" s="36">
        <v>483</v>
      </c>
      <c r="B484" s="3" t="s">
        <v>16</v>
      </c>
      <c r="C484" s="10" t="str">
        <f>"0001260113"</f>
        <v>0001260113</v>
      </c>
      <c r="D484" s="11" t="str">
        <f>"Object-oriented design and programming with C++ / Ronald J. Leach.-- AP Professional; c1995."</f>
        <v>Object-oriented design and programming with C++ / Ronald J. Leach.-- AP Professional; c1995.</v>
      </c>
      <c r="E484" s="11" t="str">
        <f>""</f>
        <v/>
      </c>
      <c r="F484" s="28" t="s">
        <v>8</v>
      </c>
      <c r="G484" s="29" t="str">
        <f t="shared" si="26"/>
        <v>007.64/LE</v>
      </c>
      <c r="H484" s="10" t="str">
        <f>"1996/01/25"</f>
        <v>1996/01/25</v>
      </c>
      <c r="I484" s="12">
        <v>5552</v>
      </c>
      <c r="J484" s="12">
        <v>100</v>
      </c>
      <c r="K484" s="10" t="str">
        <f t="shared" ref="K484:K513" si="27">"2  洋書"</f>
        <v>2  洋書</v>
      </c>
      <c r="L484" s="13"/>
    </row>
    <row r="485" spans="1:12" ht="24" x14ac:dyDescent="0.15">
      <c r="A485" s="36">
        <v>484</v>
      </c>
      <c r="B485" s="3" t="s">
        <v>16</v>
      </c>
      <c r="C485" s="10" t="str">
        <f>"0001264593"</f>
        <v>0001264593</v>
      </c>
      <c r="D485" s="11" t="str">
        <f>"The art and science of smalltalk / Simon Lewis.-- Prentice Hall; 1995.-- (Hewlett-Packard professional books)."</f>
        <v>The art and science of smalltalk / Simon Lewis.-- Prentice Hall; 1995.-- (Hewlett-Packard professional books).</v>
      </c>
      <c r="E485" s="11" t="str">
        <f>""</f>
        <v/>
      </c>
      <c r="F485" s="28" t="s">
        <v>8</v>
      </c>
      <c r="G485" s="29" t="str">
        <f t="shared" si="26"/>
        <v>007.64/LE</v>
      </c>
      <c r="H485" s="10" t="str">
        <f>"1996/03/07"</f>
        <v>1996/03/07</v>
      </c>
      <c r="I485" s="12">
        <v>4449</v>
      </c>
      <c r="J485" s="12">
        <v>100</v>
      </c>
      <c r="K485" s="10" t="str">
        <f t="shared" si="27"/>
        <v>2  洋書</v>
      </c>
      <c r="L485" s="13"/>
    </row>
    <row r="486" spans="1:12" ht="24" x14ac:dyDescent="0.15">
      <c r="A486" s="36">
        <v>485</v>
      </c>
      <c r="B486" s="3" t="s">
        <v>16</v>
      </c>
      <c r="C486" s="10" t="str">
        <f>"0001288056"</f>
        <v>0001288056</v>
      </c>
      <c r="D486" s="11" t="str">
        <f>"Concurrent programming in Java : design principles and patterns / Doug Lea.-- Addison Wesley; c1997.-- (The Java series)."</f>
        <v>Concurrent programming in Java : design principles and patterns / Doug Lea.-- Addison Wesley; c1997.-- (The Java series).</v>
      </c>
      <c r="E486" s="11" t="str">
        <f>""</f>
        <v/>
      </c>
      <c r="F486" s="28" t="s">
        <v>8</v>
      </c>
      <c r="G486" s="29" t="str">
        <f t="shared" si="26"/>
        <v>007.64/LE</v>
      </c>
      <c r="H486" s="10" t="str">
        <f>"1997/04/15"</f>
        <v>1997/04/15</v>
      </c>
      <c r="I486" s="12">
        <v>6492</v>
      </c>
      <c r="J486" s="12">
        <v>100</v>
      </c>
      <c r="K486" s="10" t="str">
        <f t="shared" si="27"/>
        <v>2  洋書</v>
      </c>
      <c r="L486" s="13"/>
    </row>
    <row r="487" spans="1:12" ht="24" x14ac:dyDescent="0.15">
      <c r="A487" s="36">
        <v>486</v>
      </c>
      <c r="B487" s="3" t="s">
        <v>16</v>
      </c>
      <c r="C487" s="10" t="str">
        <f>"0001660548"</f>
        <v>0001660548</v>
      </c>
      <c r="D487" s="11" t="str">
        <f>"Concurrent programming in Java : design principles and patterns / Doug Lea.-- Addison Wesley; c1997.-- (The Java series)."</f>
        <v>Concurrent programming in Java : design principles and patterns / Doug Lea.-- Addison Wesley; c1997.-- (The Java series).</v>
      </c>
      <c r="E487" s="11" t="str">
        <f>""</f>
        <v/>
      </c>
      <c r="F487" s="28" t="s">
        <v>8</v>
      </c>
      <c r="G487" s="29" t="str">
        <f t="shared" si="26"/>
        <v>007.64/LE</v>
      </c>
      <c r="H487" s="10" t="str">
        <f>"1997/11/18"</f>
        <v>1997/11/18</v>
      </c>
      <c r="I487" s="12">
        <v>6389</v>
      </c>
      <c r="J487" s="12">
        <v>100</v>
      </c>
      <c r="K487" s="10" t="str">
        <f t="shared" si="27"/>
        <v>2  洋書</v>
      </c>
      <c r="L487" s="13"/>
    </row>
    <row r="488" spans="1:12" ht="24" x14ac:dyDescent="0.15">
      <c r="A488" s="36">
        <v>487</v>
      </c>
      <c r="B488" s="3" t="s">
        <v>16</v>
      </c>
      <c r="C488" s="10" t="str">
        <f>"0000537629"</f>
        <v>0000537629</v>
      </c>
      <c r="D488" s="11" t="str">
        <f>"Obfuscated C and other mysteries / Don Libes.-- Wiley; c1993.-- (Wiley professional computing)."</f>
        <v>Obfuscated C and other mysteries / Don Libes.-- Wiley; c1993.-- (Wiley professional computing).</v>
      </c>
      <c r="E488" s="11" t="str">
        <f>""</f>
        <v/>
      </c>
      <c r="F488" s="28" t="s">
        <v>8</v>
      </c>
      <c r="G488" s="29" t="str">
        <f>"007.64/LI"</f>
        <v>007.64/LI</v>
      </c>
      <c r="H488" s="10" t="str">
        <f>"1995/03/03"</f>
        <v>1995/03/03</v>
      </c>
      <c r="I488" s="12">
        <v>6479</v>
      </c>
      <c r="J488" s="12">
        <v>100</v>
      </c>
      <c r="K488" s="10" t="str">
        <f t="shared" si="27"/>
        <v>2  洋書</v>
      </c>
      <c r="L488" s="13"/>
    </row>
    <row r="489" spans="1:12" ht="36" x14ac:dyDescent="0.15">
      <c r="A489" s="36">
        <v>488</v>
      </c>
      <c r="B489" s="3" t="s">
        <v>16</v>
      </c>
      <c r="C489" s="10" t="str">
        <f>"0000546720"</f>
        <v>0000546720</v>
      </c>
      <c r="D489" s="11" t="str">
        <f>"Foundations of logic programming / J.W. Lloyd ; : us, : gw.-- 2nd, extended ed, 1st corr. print..-- Springer-Verlag; 1993.-- (Artificial intelligence)."</f>
        <v>Foundations of logic programming / J.W. Lloyd ; : us, : gw.-- 2nd, extended ed, 1st corr. print..-- Springer-Verlag; 1993.-- (Artificial intelligence).</v>
      </c>
      <c r="E489" s="11" t="str">
        <f>": gw"</f>
        <v>: gw</v>
      </c>
      <c r="F489" s="28" t="s">
        <v>8</v>
      </c>
      <c r="G489" s="29" t="str">
        <f>"007.64/LL"</f>
        <v>007.64/LL</v>
      </c>
      <c r="H489" s="10" t="str">
        <f>"1995/03/31"</f>
        <v>1995/03/31</v>
      </c>
      <c r="I489" s="12">
        <v>1</v>
      </c>
      <c r="J489" s="12">
        <v>100</v>
      </c>
      <c r="K489" s="10" t="str">
        <f t="shared" si="27"/>
        <v>2  洋書</v>
      </c>
      <c r="L489" s="13"/>
    </row>
    <row r="490" spans="1:12" ht="24" x14ac:dyDescent="0.15">
      <c r="A490" s="36">
        <v>489</v>
      </c>
      <c r="B490" s="3" t="s">
        <v>16</v>
      </c>
      <c r="C490" s="10" t="str">
        <f>"0000866781"</f>
        <v>0000866781</v>
      </c>
      <c r="D490" s="11" t="str">
        <f>"Object-oriented methods : a foundation / James Martin, James J. Odell.-- PTR Prentice Hall; c1995."</f>
        <v>Object-oriented methods : a foundation / James Martin, James J. Odell.-- PTR Prentice Hall; c1995.</v>
      </c>
      <c r="E490" s="11" t="str">
        <f>""</f>
        <v/>
      </c>
      <c r="F490" s="28" t="s">
        <v>8</v>
      </c>
      <c r="G490" s="29" t="str">
        <f>"007.64/MA"</f>
        <v>007.64/MA</v>
      </c>
      <c r="H490" s="10" t="str">
        <f>"1995/08/09"</f>
        <v>1995/08/09</v>
      </c>
      <c r="I490" s="12">
        <v>6498</v>
      </c>
      <c r="J490" s="12">
        <v>100</v>
      </c>
      <c r="K490" s="10" t="str">
        <f t="shared" si="27"/>
        <v>2  洋書</v>
      </c>
      <c r="L490" s="13"/>
    </row>
    <row r="491" spans="1:12" ht="36" x14ac:dyDescent="0.15">
      <c r="A491" s="36">
        <v>490</v>
      </c>
      <c r="B491" s="3" t="s">
        <v>16</v>
      </c>
      <c r="C491" s="10" t="str">
        <f>"0001289015"</f>
        <v>0001289015</v>
      </c>
      <c r="D491" s="11" t="str">
        <f>"Effective C++ : 50 specific ways to improve your programs and designs / Scott Meyers.-- Addison-Wesley Pub. Co.; c1992.-- (Addison-Wesley professional computing series)."</f>
        <v>Effective C++ : 50 specific ways to improve your programs and designs / Scott Meyers.-- Addison-Wesley Pub. Co.; c1992.-- (Addison-Wesley professional computing series).</v>
      </c>
      <c r="E491" s="11" t="str">
        <f>""</f>
        <v/>
      </c>
      <c r="F491" s="28" t="s">
        <v>8</v>
      </c>
      <c r="G491" s="29" t="str">
        <f>"007.64/ME"</f>
        <v>007.64/ME</v>
      </c>
      <c r="H491" s="10" t="str">
        <f>"1997/04/24"</f>
        <v>1997/04/24</v>
      </c>
      <c r="I491" s="12">
        <v>5084</v>
      </c>
      <c r="J491" s="12">
        <v>100</v>
      </c>
      <c r="K491" s="10" t="str">
        <f t="shared" si="27"/>
        <v>2  洋書</v>
      </c>
      <c r="L491" s="13"/>
    </row>
    <row r="492" spans="1:12" ht="36" x14ac:dyDescent="0.15">
      <c r="A492" s="36">
        <v>491</v>
      </c>
      <c r="B492" s="3" t="s">
        <v>16</v>
      </c>
      <c r="C492" s="10" t="str">
        <f>"0001291179"</f>
        <v>0001291179</v>
      </c>
      <c r="D492" s="11" t="str">
        <f>"More effective C++ : 35 new ways to improve your programs and designs / Scott Meyers ; : pbk.-- Addison-Wesley; c1996.-- (Addison-Wesley professional computing series)."</f>
        <v>More effective C++ : 35 new ways to improve your programs and designs / Scott Meyers ; : pbk.-- Addison-Wesley; c1996.-- (Addison-Wesley professional computing series).</v>
      </c>
      <c r="E492" s="11" t="str">
        <f>": pbk"</f>
        <v>: pbk</v>
      </c>
      <c r="F492" s="28" t="s">
        <v>8</v>
      </c>
      <c r="G492" s="29" t="str">
        <f>"007.64/ME"</f>
        <v>007.64/ME</v>
      </c>
      <c r="H492" s="10" t="str">
        <f>"1997/05/23"</f>
        <v>1997/05/23</v>
      </c>
      <c r="I492" s="12">
        <v>4904</v>
      </c>
      <c r="J492" s="12">
        <v>100</v>
      </c>
      <c r="K492" s="10" t="str">
        <f t="shared" si="27"/>
        <v>2  洋書</v>
      </c>
      <c r="L492" s="13"/>
    </row>
    <row r="493" spans="1:12" ht="24" x14ac:dyDescent="0.15">
      <c r="A493" s="36">
        <v>492</v>
      </c>
      <c r="B493" s="3" t="s">
        <v>16</v>
      </c>
      <c r="C493" s="10" t="str">
        <f>"0001677034"</f>
        <v>0001677034</v>
      </c>
      <c r="D493" s="11" t="str">
        <f>"Object-oriented software construction / Bertrand Meyer.-- 2nd ed.-- Prentice Hall; c1997."</f>
        <v>Object-oriented software construction / Bertrand Meyer.-- 2nd ed.-- Prentice Hall; c1997.</v>
      </c>
      <c r="E493" s="11" t="str">
        <f>""</f>
        <v/>
      </c>
      <c r="F493" s="28" t="s">
        <v>8</v>
      </c>
      <c r="G493" s="29" t="str">
        <f>"007.64/ME"</f>
        <v>007.64/ME</v>
      </c>
      <c r="H493" s="10" t="str">
        <f>"1998/08/11"</f>
        <v>1998/08/11</v>
      </c>
      <c r="I493" s="12">
        <v>14023</v>
      </c>
      <c r="J493" s="14">
        <v>500</v>
      </c>
      <c r="K493" s="10" t="str">
        <f t="shared" si="27"/>
        <v>2  洋書</v>
      </c>
      <c r="L493" s="13"/>
    </row>
    <row r="494" spans="1:12" ht="24" x14ac:dyDescent="0.15">
      <c r="A494" s="36">
        <v>493</v>
      </c>
      <c r="B494" s="3" t="s">
        <v>16</v>
      </c>
      <c r="C494" s="10" t="str">
        <f>"0000535908"</f>
        <v>0000535908</v>
      </c>
      <c r="D494" s="11" t="str">
        <f>"The joy of C : Programming in C / Lawrence H. Miller, Alexander E. Quilici ; pbk..-- 2nd ed.-- Wiley; c1993."</f>
        <v>The joy of C : Programming in C / Lawrence H. Miller, Alexander E. Quilici ; pbk..-- 2nd ed.-- Wiley; c1993.</v>
      </c>
      <c r="E494" s="11" t="str">
        <f>"pbk."</f>
        <v>pbk.</v>
      </c>
      <c r="F494" s="28" t="s">
        <v>8</v>
      </c>
      <c r="G494" s="29" t="str">
        <f>"007.64/MI"</f>
        <v>007.64/MI</v>
      </c>
      <c r="H494" s="10" t="str">
        <f>"1995/03/06"</f>
        <v>1995/03/06</v>
      </c>
      <c r="I494" s="12">
        <v>1</v>
      </c>
      <c r="J494" s="12">
        <v>100</v>
      </c>
      <c r="K494" s="10" t="str">
        <f t="shared" si="27"/>
        <v>2  洋書</v>
      </c>
      <c r="L494" s="13"/>
    </row>
    <row r="495" spans="1:12" ht="24" x14ac:dyDescent="0.15">
      <c r="A495" s="36">
        <v>494</v>
      </c>
      <c r="B495" s="3" t="s">
        <v>16</v>
      </c>
      <c r="C495" s="10" t="str">
        <f>"0000850599"</f>
        <v>0000850599</v>
      </c>
      <c r="D495" s="11" t="str">
        <f>"The joy of C : Programming in C / Lawrence H. Miller, Alexander E. Quilici ; pbk..-- 2nd ed.-- Wiley; c1993."</f>
        <v>The joy of C : Programming in C / Lawrence H. Miller, Alexander E. Quilici ; pbk..-- 2nd ed.-- Wiley; c1993.</v>
      </c>
      <c r="E495" s="11" t="str">
        <f>"pbk."</f>
        <v>pbk.</v>
      </c>
      <c r="F495" s="28" t="s">
        <v>8</v>
      </c>
      <c r="G495" s="29" t="str">
        <f>"007.64/MI"</f>
        <v>007.64/MI</v>
      </c>
      <c r="H495" s="10" t="str">
        <f>"1995/06/09"</f>
        <v>1995/06/09</v>
      </c>
      <c r="I495" s="12">
        <v>7684</v>
      </c>
      <c r="J495" s="12">
        <v>100</v>
      </c>
      <c r="K495" s="10" t="str">
        <f t="shared" si="27"/>
        <v>2  洋書</v>
      </c>
      <c r="L495" s="13"/>
    </row>
    <row r="496" spans="1:12" ht="24" x14ac:dyDescent="0.15">
      <c r="A496" s="36">
        <v>495</v>
      </c>
      <c r="B496" s="3" t="s">
        <v>16</v>
      </c>
      <c r="C496" s="10" t="str">
        <f>"0001297652"</f>
        <v>0001297652</v>
      </c>
      <c r="D496" s="11" t="str">
        <f>"The joy of C / Lawrence H. Miller, Alexander E. Quilici ; : pbk.-- 3rd ed.-- Wiley; c1997."</f>
        <v>The joy of C / Lawrence H. Miller, Alexander E. Quilici ; : pbk.-- 3rd ed.-- Wiley; c1997.</v>
      </c>
      <c r="E496" s="11" t="str">
        <f>": pbk"</f>
        <v>: pbk</v>
      </c>
      <c r="F496" s="28" t="s">
        <v>8</v>
      </c>
      <c r="G496" s="29" t="str">
        <f>"007.64/MI"</f>
        <v>007.64/MI</v>
      </c>
      <c r="H496" s="10" t="str">
        <f>"1997/09/01"</f>
        <v>1997/09/01</v>
      </c>
      <c r="I496" s="12">
        <v>9753</v>
      </c>
      <c r="J496" s="12">
        <v>100</v>
      </c>
      <c r="K496" s="10" t="str">
        <f t="shared" si="27"/>
        <v>2  洋書</v>
      </c>
      <c r="L496" s="13"/>
    </row>
    <row r="497" spans="1:12" ht="48" x14ac:dyDescent="0.15">
      <c r="A497" s="36">
        <v>496</v>
      </c>
      <c r="B497" s="3" t="s">
        <v>16</v>
      </c>
      <c r="C497" s="10" t="str">
        <f>"0001295146"</f>
        <v>0001295146</v>
      </c>
      <c r="D497" s="11" t="str">
        <f>"STL tutorial and reference guide : C++ programming with the standard template library / David R. Musser, Atul Saini ; foreword by Alexander Stepanov ; : alk. paper.-- Addison-Wesley Pub.; c1996.-- (Addison-Wesley professional computing series)."</f>
        <v>STL tutorial and reference guide : C++ programming with the standard template library / David R. Musser, Atul Saini ; foreword by Alexander Stepanov ; : alk. paper.-- Addison-Wesley Pub.; c1996.-- (Addison-Wesley professional computing series).</v>
      </c>
      <c r="E497" s="11" t="str">
        <f>": alk. paper"</f>
        <v>: alk. paper</v>
      </c>
      <c r="F497" s="28" t="s">
        <v>8</v>
      </c>
      <c r="G497" s="29" t="str">
        <f>"007.64/MU"</f>
        <v>007.64/MU</v>
      </c>
      <c r="H497" s="10" t="str">
        <f>"1997/07/16"</f>
        <v>1997/07/16</v>
      </c>
      <c r="I497" s="12">
        <v>6151</v>
      </c>
      <c r="J497" s="12">
        <v>100</v>
      </c>
      <c r="K497" s="10" t="str">
        <f t="shared" si="27"/>
        <v>2  洋書</v>
      </c>
      <c r="L497" s="13"/>
    </row>
    <row r="498" spans="1:12" ht="24" x14ac:dyDescent="0.15">
      <c r="A498" s="36">
        <v>497</v>
      </c>
      <c r="B498" s="3" t="s">
        <v>16</v>
      </c>
      <c r="C498" s="10" t="str">
        <f>"0001260120"</f>
        <v>0001260120</v>
      </c>
      <c r="D498" s="11" t="str">
        <f>"Logic, programming, and Prolog / Ulf Nilsson and Jan Ma◆U0142◆uszy◆U0144◆ski ; : pbk. : alk. paper.-- 2nd ed.-- John Wiley; c1995."</f>
        <v>Logic, programming, and Prolog / Ulf Nilsson and Jan Ma◆U0142◆uszy◆U0144◆ski ; : pbk. : alk. paper.-- 2nd ed.-- John Wiley; c1995.</v>
      </c>
      <c r="E498" s="11" t="str">
        <f>": pbk. : alk. paper"</f>
        <v>: pbk. : alk. paper</v>
      </c>
      <c r="F498" s="28" t="s">
        <v>8</v>
      </c>
      <c r="G498" s="29" t="str">
        <f>"007.64/NI"</f>
        <v>007.64/NI</v>
      </c>
      <c r="H498" s="10" t="str">
        <f>"1996/01/25"</f>
        <v>1996/01/25</v>
      </c>
      <c r="I498" s="12">
        <v>5552</v>
      </c>
      <c r="J498" s="12">
        <v>100</v>
      </c>
      <c r="K498" s="10" t="str">
        <f t="shared" si="27"/>
        <v>2  洋書</v>
      </c>
      <c r="L498" s="13"/>
    </row>
    <row r="499" spans="1:12" ht="24" x14ac:dyDescent="0.15">
      <c r="A499" s="36">
        <v>498</v>
      </c>
      <c r="B499" s="3" t="s">
        <v>16</v>
      </c>
      <c r="C499" s="10" t="str">
        <f>"0000537599"</f>
        <v>0000537599</v>
      </c>
      <c r="D499" s="11" t="str">
        <f>"The craft of Prolog / Richard A. O'Keefe.-- MIT Press; c1990.-- (Logic programming)."</f>
        <v>The craft of Prolog / Richard A. O'Keefe.-- MIT Press; c1990.-- (Logic programming).</v>
      </c>
      <c r="E499" s="11" t="str">
        <f>""</f>
        <v/>
      </c>
      <c r="F499" s="28" t="s">
        <v>8</v>
      </c>
      <c r="G499" s="29" t="str">
        <f>"007.64/OK"</f>
        <v>007.64/OK</v>
      </c>
      <c r="H499" s="10" t="str">
        <f>"1995/03/03"</f>
        <v>1995/03/03</v>
      </c>
      <c r="I499" s="12">
        <v>8760</v>
      </c>
      <c r="J499" s="12">
        <v>100</v>
      </c>
      <c r="K499" s="10" t="str">
        <f t="shared" si="27"/>
        <v>2  洋書</v>
      </c>
      <c r="L499" s="13"/>
    </row>
    <row r="500" spans="1:12" ht="24" x14ac:dyDescent="0.15">
      <c r="A500" s="36">
        <v>499</v>
      </c>
      <c r="B500" s="3" t="s">
        <v>16</v>
      </c>
      <c r="C500" s="10" t="str">
        <f>"0001672893"</f>
        <v>0001672893</v>
      </c>
      <c r="D500" s="11" t="str">
        <f>"Client/server programming with Java and CORBA / Robert Orfali, Dan Harkey ; : pbk..-- 2nd ed.-- Wiley Computer Pub.; c1998."</f>
        <v>Client/server programming with Java and CORBA / Robert Orfali, Dan Harkey ; : pbk..-- 2nd ed.-- Wiley Computer Pub.; c1998.</v>
      </c>
      <c r="E500" s="11" t="str">
        <f>": pbk."</f>
        <v>: pbk.</v>
      </c>
      <c r="F500" s="28" t="s">
        <v>8</v>
      </c>
      <c r="G500" s="29" t="str">
        <f>"007.64/OR"</f>
        <v>007.64/OR</v>
      </c>
      <c r="H500" s="10" t="str">
        <f>"1998/06/02"</f>
        <v>1998/06/02</v>
      </c>
      <c r="I500" s="12">
        <v>9629</v>
      </c>
      <c r="J500" s="12">
        <v>100</v>
      </c>
      <c r="K500" s="10" t="str">
        <f t="shared" si="27"/>
        <v>2  洋書</v>
      </c>
      <c r="L500" s="13"/>
    </row>
    <row r="501" spans="1:12" ht="24" x14ac:dyDescent="0.15">
      <c r="A501" s="36">
        <v>500</v>
      </c>
      <c r="B501" s="3" t="s">
        <v>16</v>
      </c>
      <c r="C501" s="10" t="str">
        <f>"0000866798"</f>
        <v>0000866798</v>
      </c>
      <c r="D501" s="11" t="str">
        <f>"Object-oriented type systems / Jens Palsberg and Michael I. Schwartzbach.-- Wiley; c1994.-- (Wiley professional computing)."</f>
        <v>Object-oriented type systems / Jens Palsberg and Michael I. Schwartzbach.-- Wiley; c1994.-- (Wiley professional computing).</v>
      </c>
      <c r="E501" s="11" t="str">
        <f>""</f>
        <v/>
      </c>
      <c r="F501" s="28" t="s">
        <v>8</v>
      </c>
      <c r="G501" s="29" t="str">
        <f>"007.64/PA"</f>
        <v>007.64/PA</v>
      </c>
      <c r="H501" s="10" t="str">
        <f>"1995/08/09"</f>
        <v>1995/08/09</v>
      </c>
      <c r="I501" s="12">
        <v>5395</v>
      </c>
      <c r="J501" s="12">
        <v>100</v>
      </c>
      <c r="K501" s="10" t="str">
        <f t="shared" si="27"/>
        <v>2  洋書</v>
      </c>
      <c r="L501" s="13"/>
    </row>
    <row r="502" spans="1:12" ht="24" x14ac:dyDescent="0.15">
      <c r="A502" s="36">
        <v>501</v>
      </c>
      <c r="B502" s="3" t="s">
        <v>16</v>
      </c>
      <c r="C502" s="10" t="str">
        <f>"0001273991"</f>
        <v>0001273991</v>
      </c>
      <c r="D502" s="11" t="str">
        <f>"ML for the working programmer / Lawrence C. Paulson ; : hardback, : pbk..-- 2nd ed.-- Cambridge University Press; 1996."</f>
        <v>ML for the working programmer / Lawrence C. Paulson ; : hardback, : pbk..-- 2nd ed.-- Cambridge University Press; 1996.</v>
      </c>
      <c r="E502" s="11" t="str">
        <f>": pbk."</f>
        <v>: pbk.</v>
      </c>
      <c r="F502" s="28" t="s">
        <v>8</v>
      </c>
      <c r="G502" s="29" t="str">
        <f>"007.64/PA"</f>
        <v>007.64/PA</v>
      </c>
      <c r="H502" s="10" t="str">
        <f>"1996/07/25"</f>
        <v>1996/07/25</v>
      </c>
      <c r="I502" s="12">
        <v>4604</v>
      </c>
      <c r="J502" s="12">
        <v>100</v>
      </c>
      <c r="K502" s="10" t="str">
        <f t="shared" si="27"/>
        <v>2  洋書</v>
      </c>
      <c r="L502" s="13"/>
    </row>
    <row r="503" spans="1:12" ht="24" x14ac:dyDescent="0.15">
      <c r="A503" s="36">
        <v>502</v>
      </c>
      <c r="B503" s="3" t="s">
        <v>16</v>
      </c>
      <c r="C503" s="10" t="str">
        <f>"0001274004"</f>
        <v>0001274004</v>
      </c>
      <c r="D503" s="11" t="str">
        <f>"ML for the working programmer / Lawrence C. Paulson ; : hardback, : pbk..-- 2nd ed.-- Cambridge University Press; 1996."</f>
        <v>ML for the working programmer / Lawrence C. Paulson ; : hardback, : pbk..-- 2nd ed.-- Cambridge University Press; 1996.</v>
      </c>
      <c r="E503" s="11" t="str">
        <f>": pbk."</f>
        <v>: pbk.</v>
      </c>
      <c r="F503" s="28" t="s">
        <v>8</v>
      </c>
      <c r="G503" s="29" t="str">
        <f>"007.64/PA"</f>
        <v>007.64/PA</v>
      </c>
      <c r="H503" s="10" t="str">
        <f>"1996/07/25"</f>
        <v>1996/07/25</v>
      </c>
      <c r="I503" s="12">
        <v>4604</v>
      </c>
      <c r="J503" s="12">
        <v>100</v>
      </c>
      <c r="K503" s="10" t="str">
        <f t="shared" si="27"/>
        <v>2  洋書</v>
      </c>
      <c r="L503" s="13"/>
    </row>
    <row r="504" spans="1:12" ht="24" x14ac:dyDescent="0.15">
      <c r="A504" s="36">
        <v>503</v>
      </c>
      <c r="B504" s="3" t="s">
        <v>16</v>
      </c>
      <c r="C504" s="10" t="str">
        <f>"0001660531"</f>
        <v>0001660531</v>
      </c>
      <c r="D504" s="11" t="str">
        <f>"Pattern languages of program design / edited by James O. Coplien, Douglas C. Schmidt ; [1], 2.-- Addison-Wesley; c1995-c1996."</f>
        <v>Pattern languages of program design / edited by James O. Coplien, Douglas C. Schmidt ; [1], 2.-- Addison-Wesley; c1995-c1996.</v>
      </c>
      <c r="E504" s="11" t="str">
        <f>"[1]"</f>
        <v>[1]</v>
      </c>
      <c r="F504" s="28" t="s">
        <v>8</v>
      </c>
      <c r="G504" s="29" t="str">
        <f>"007.64/PA/1"</f>
        <v>007.64/PA/1</v>
      </c>
      <c r="H504" s="10" t="str">
        <f>"1997/11/18"</f>
        <v>1997/11/18</v>
      </c>
      <c r="I504" s="12">
        <v>6734</v>
      </c>
      <c r="J504" s="12">
        <v>100</v>
      </c>
      <c r="K504" s="10" t="str">
        <f t="shared" si="27"/>
        <v>2  洋書</v>
      </c>
      <c r="L504" s="13"/>
    </row>
    <row r="505" spans="1:12" ht="36" x14ac:dyDescent="0.15">
      <c r="A505" s="36">
        <v>504</v>
      </c>
      <c r="B505" s="3" t="s">
        <v>16</v>
      </c>
      <c r="C505" s="10" t="str">
        <f>"0001274318"</f>
        <v>0001274318</v>
      </c>
      <c r="D505" s="11" t="str">
        <f>"Natural language processing / edited by Fernando C.N. Pereira and Barbara J. Grosz.-- MIT Press; 1994.-- (Special issues of Artificial intelligence, an international journal)."</f>
        <v>Natural language processing / edited by Fernando C.N. Pereira and Barbara J. Grosz.-- MIT Press; 1994.-- (Special issues of Artificial intelligence, an international journal).</v>
      </c>
      <c r="E505" s="11" t="str">
        <f>""</f>
        <v/>
      </c>
      <c r="F505" s="28" t="s">
        <v>8</v>
      </c>
      <c r="G505" s="29" t="str">
        <f>"007.64/PE"</f>
        <v>007.64/PE</v>
      </c>
      <c r="H505" s="10" t="str">
        <f>"1996/08/08"</f>
        <v>1996/08/08</v>
      </c>
      <c r="I505" s="12">
        <v>6757</v>
      </c>
      <c r="J505" s="12">
        <v>100</v>
      </c>
      <c r="K505" s="10" t="str">
        <f t="shared" si="27"/>
        <v>2  洋書</v>
      </c>
      <c r="L505" s="13"/>
    </row>
    <row r="506" spans="1:12" ht="36" x14ac:dyDescent="0.15">
      <c r="A506" s="36">
        <v>505</v>
      </c>
      <c r="B506" s="3" t="s">
        <v>16</v>
      </c>
      <c r="C506" s="4" t="str">
        <f>"0002763330"</f>
        <v>0002763330</v>
      </c>
      <c r="D506" s="5" t="str">
        <f>"Numerical recipes in C++ : the art of scientific computing / William H. Press ... [et al.] ; [Text] : hardback - : complete CD-ROM (UNIX/Linux).-- 2nd ed.-- Cambridge University Press; 2002."</f>
        <v>Numerical recipes in C++ : the art of scientific computing / William H. Press ... [et al.] ; [Text] : hardback - : complete CD-ROM (UNIX/Linux).-- 2nd ed.-- Cambridge University Press; 2002.</v>
      </c>
      <c r="E506" s="5" t="str">
        <f>"[Text] : hardback"</f>
        <v>[Text] : hardback</v>
      </c>
      <c r="F506" s="26"/>
      <c r="G506" s="27" t="str">
        <f>"007.64/PR"</f>
        <v>007.64/PR</v>
      </c>
      <c r="H506" s="4" t="str">
        <f>"2005/12/01"</f>
        <v>2005/12/01</v>
      </c>
      <c r="I506" s="6">
        <v>12869</v>
      </c>
      <c r="J506" s="8">
        <v>500</v>
      </c>
      <c r="K506" s="4" t="str">
        <f t="shared" si="27"/>
        <v>2  洋書</v>
      </c>
      <c r="L506" s="7"/>
    </row>
    <row r="507" spans="1:12" ht="24" x14ac:dyDescent="0.15">
      <c r="A507" s="36">
        <v>506</v>
      </c>
      <c r="B507" s="3" t="s">
        <v>16</v>
      </c>
      <c r="C507" s="10" t="str">
        <f>"0001276176"</f>
        <v>0001276176</v>
      </c>
      <c r="D507" s="11" t="str">
        <f>"The elements of C programming style / Jay Ranade, Alan Nash.-- McGraw-Hill; c1993."</f>
        <v>The elements of C programming style / Jay Ranade, Alan Nash.-- McGraw-Hill; c1993.</v>
      </c>
      <c r="E507" s="11" t="str">
        <f>""</f>
        <v/>
      </c>
      <c r="F507" s="28" t="s">
        <v>8</v>
      </c>
      <c r="G507" s="29" t="str">
        <f>"007.64/RA"</f>
        <v>007.64/RA</v>
      </c>
      <c r="H507" s="10" t="str">
        <f>"1996/09/27"</f>
        <v>1996/09/27</v>
      </c>
      <c r="I507" s="12">
        <v>4523</v>
      </c>
      <c r="J507" s="12">
        <v>100</v>
      </c>
      <c r="K507" s="10" t="str">
        <f t="shared" si="27"/>
        <v>2  洋書</v>
      </c>
      <c r="L507" s="13"/>
    </row>
    <row r="508" spans="1:12" ht="36" x14ac:dyDescent="0.15">
      <c r="A508" s="36">
        <v>507</v>
      </c>
      <c r="B508" s="3" t="s">
        <v>16</v>
      </c>
      <c r="C508" s="10" t="str">
        <f>"0001663327"</f>
        <v>0001663327</v>
      </c>
      <c r="D508" s="11" t="str">
        <f>"Framework-based software development in C++ / Gregory F. Rogers.-- Prentice Hall PTR; c1997.-- (Prentice Hall series on programming tools and methodologies)."</f>
        <v>Framework-based software development in C++ / Gregory F. Rogers.-- Prentice Hall PTR; c1997.-- (Prentice Hall series on programming tools and methodologies).</v>
      </c>
      <c r="E508" s="11" t="str">
        <f>""</f>
        <v/>
      </c>
      <c r="F508" s="28" t="s">
        <v>8</v>
      </c>
      <c r="G508" s="29" t="str">
        <f>"007.64/RO"</f>
        <v>007.64/RO</v>
      </c>
      <c r="H508" s="10" t="str">
        <f>"1998/01/23"</f>
        <v>1998/01/23</v>
      </c>
      <c r="I508" s="12">
        <v>9072</v>
      </c>
      <c r="J508" s="12">
        <v>100</v>
      </c>
      <c r="K508" s="10" t="str">
        <f t="shared" si="27"/>
        <v>2  洋書</v>
      </c>
      <c r="L508" s="13"/>
    </row>
    <row r="509" spans="1:12" ht="36" x14ac:dyDescent="0.15">
      <c r="A509" s="36">
        <v>508</v>
      </c>
      <c r="B509" s="3" t="s">
        <v>16</v>
      </c>
      <c r="C509" s="10" t="str">
        <f>"0000486408"</f>
        <v>0000486408</v>
      </c>
      <c r="D509" s="11" t="str">
        <f>"An introduction to programming in Prolog / by Patrick Saint-Dizier ; translated by Sharon J. Hamilton ; : u.s., : germany.-- Springer-Verlag; 1989, c1990."</f>
        <v>An introduction to programming in Prolog / by Patrick Saint-Dizier ; translated by Sharon J. Hamilton ; : u.s., : germany.-- Springer-Verlag; 1989, c1990.</v>
      </c>
      <c r="E509" s="11" t="str">
        <f>": u.s."</f>
        <v>: u.s.</v>
      </c>
      <c r="F509" s="28" t="s">
        <v>8</v>
      </c>
      <c r="G509" s="29" t="str">
        <f>"007.64/SA"</f>
        <v>007.64/SA</v>
      </c>
      <c r="H509" s="10" t="str">
        <f>"1994/10/05"</f>
        <v>1994/10/05</v>
      </c>
      <c r="I509" s="12">
        <v>3976</v>
      </c>
      <c r="J509" s="12">
        <v>100</v>
      </c>
      <c r="K509" s="10" t="str">
        <f t="shared" si="27"/>
        <v>2  洋書</v>
      </c>
      <c r="L509" s="13"/>
    </row>
    <row r="510" spans="1:12" ht="24" x14ac:dyDescent="0.15">
      <c r="A510" s="36">
        <v>509</v>
      </c>
      <c r="B510" s="3" t="s">
        <v>16</v>
      </c>
      <c r="C510" s="10" t="str">
        <f>"0001670073"</f>
        <v>0001670073</v>
      </c>
      <c r="D510" s="11" t="str">
        <f>"Unified objects : object-oriented programming using C++ / Babak Sadr.-- IEEE Computer Society Press; c1998."</f>
        <v>Unified objects : object-oriented programming using C++ / Babak Sadr.-- IEEE Computer Society Press; c1998.</v>
      </c>
      <c r="E510" s="11" t="str">
        <f>""</f>
        <v/>
      </c>
      <c r="F510" s="28" t="s">
        <v>8</v>
      </c>
      <c r="G510" s="29" t="str">
        <f>"007.64/SA"</f>
        <v>007.64/SA</v>
      </c>
      <c r="H510" s="10" t="str">
        <f>"1998/04/21"</f>
        <v>1998/04/21</v>
      </c>
      <c r="I510" s="12">
        <v>7182</v>
      </c>
      <c r="J510" s="12">
        <v>100</v>
      </c>
      <c r="K510" s="10" t="str">
        <f t="shared" si="27"/>
        <v>2  洋書</v>
      </c>
      <c r="L510" s="13"/>
    </row>
    <row r="511" spans="1:12" ht="24" x14ac:dyDescent="0.15">
      <c r="A511" s="36">
        <v>510</v>
      </c>
      <c r="B511" s="3" t="s">
        <v>16</v>
      </c>
      <c r="C511" s="10" t="str">
        <f>"0001288070"</f>
        <v>0001288070</v>
      </c>
      <c r="D511" s="11" t="str">
        <f>"Concepts of programming languages / Robert W. Sebesta.-- 3rd ed.-- Addison-Wesley Pub. Co.; c1996."</f>
        <v>Concepts of programming languages / Robert W. Sebesta.-- 3rd ed.-- Addison-Wesley Pub. Co.; c1996.</v>
      </c>
      <c r="E511" s="11" t="str">
        <f>""</f>
        <v/>
      </c>
      <c r="F511" s="28" t="s">
        <v>8</v>
      </c>
      <c r="G511" s="29" t="str">
        <f>"007.64/SE"</f>
        <v>007.64/SE</v>
      </c>
      <c r="H511" s="10" t="str">
        <f>"1997/04/15"</f>
        <v>1997/04/15</v>
      </c>
      <c r="I511" s="12">
        <v>9128</v>
      </c>
      <c r="J511" s="12">
        <v>100</v>
      </c>
      <c r="K511" s="10" t="str">
        <f t="shared" si="27"/>
        <v>2  洋書</v>
      </c>
      <c r="L511" s="13"/>
    </row>
    <row r="512" spans="1:12" ht="24" x14ac:dyDescent="0.15">
      <c r="A512" s="36">
        <v>511</v>
      </c>
      <c r="B512" s="3" t="s">
        <v>16</v>
      </c>
      <c r="C512" s="10" t="str">
        <f>"0001289046"</f>
        <v>0001289046</v>
      </c>
      <c r="D512" s="11" t="str">
        <f>"Smalltalk with style / Edward J. Klimas, Suzanne Skublics, David A. Thomas.-- Prentice Hall; c1996."</f>
        <v>Smalltalk with style / Edward J. Klimas, Suzanne Skublics, David A. Thomas.-- Prentice Hall; c1996.</v>
      </c>
      <c r="E512" s="11" t="str">
        <f>""</f>
        <v/>
      </c>
      <c r="F512" s="28" t="s">
        <v>8</v>
      </c>
      <c r="G512" s="29" t="str">
        <f>"007.64/SK"</f>
        <v>007.64/SK</v>
      </c>
      <c r="H512" s="10" t="str">
        <f>"1997/04/24"</f>
        <v>1997/04/24</v>
      </c>
      <c r="I512" s="12">
        <v>3335</v>
      </c>
      <c r="J512" s="12">
        <v>100</v>
      </c>
      <c r="K512" s="10" t="str">
        <f t="shared" si="27"/>
        <v>2  洋書</v>
      </c>
      <c r="L512" s="13"/>
    </row>
    <row r="513" spans="1:12" x14ac:dyDescent="0.15">
      <c r="A513" s="36">
        <v>512</v>
      </c>
      <c r="B513" s="3" t="s">
        <v>16</v>
      </c>
      <c r="C513" s="10" t="str">
        <f>"0000850834"</f>
        <v>0000850834</v>
      </c>
      <c r="D513" s="11" t="str">
        <f>"Comprehensive C / David Spuler.-- Prentice Hall; c1992."</f>
        <v>Comprehensive C / David Spuler.-- Prentice Hall; c1992.</v>
      </c>
      <c r="E513" s="11" t="str">
        <f>""</f>
        <v/>
      </c>
      <c r="F513" s="28" t="s">
        <v>8</v>
      </c>
      <c r="G513" s="29" t="str">
        <f>"007.64/SP"</f>
        <v>007.64/SP</v>
      </c>
      <c r="H513" s="10" t="str">
        <f>"1995/06/15"</f>
        <v>1995/06/15</v>
      </c>
      <c r="I513" s="12">
        <v>4672</v>
      </c>
      <c r="J513" s="12">
        <v>100</v>
      </c>
      <c r="K513" s="10" t="str">
        <f t="shared" si="27"/>
        <v>2  洋書</v>
      </c>
      <c r="L513" s="13"/>
    </row>
    <row r="514" spans="1:12" ht="36" x14ac:dyDescent="0.15">
      <c r="A514" s="36">
        <v>513</v>
      </c>
      <c r="B514" s="3" t="s">
        <v>16</v>
      </c>
      <c r="C514" s="10" t="str">
        <f>"0001266962"</f>
        <v>0001266962</v>
      </c>
      <c r="D514" s="11" t="str">
        <f>"An introduction to logic programming through Prolog / Michael Spivey ; : pbk.-- Prentice Hall; c1996.-- (Prentice-Hall International series in computer science)."</f>
        <v>An introduction to logic programming through Prolog / Michael Spivey ; : pbk.-- Prentice Hall; c1996.-- (Prentice-Hall International series in computer science).</v>
      </c>
      <c r="E514" s="11" t="str">
        <f>": pbk"</f>
        <v>: pbk</v>
      </c>
      <c r="F514" s="28" t="s">
        <v>8</v>
      </c>
      <c r="G514" s="29" t="str">
        <f>"007.64/SP"</f>
        <v>007.64/SP</v>
      </c>
      <c r="H514" s="10" t="str">
        <f>"1996/04/22"</f>
        <v>1996/04/22</v>
      </c>
      <c r="I514" s="12">
        <v>5172</v>
      </c>
      <c r="J514" s="12">
        <v>100</v>
      </c>
      <c r="K514" s="10" t="str">
        <f>"1  和書"</f>
        <v>1  和書</v>
      </c>
      <c r="L514" s="13"/>
    </row>
    <row r="515" spans="1:12" ht="24" x14ac:dyDescent="0.15">
      <c r="A515" s="36">
        <v>514</v>
      </c>
      <c r="B515" s="3" t="s">
        <v>16</v>
      </c>
      <c r="C515" s="10" t="str">
        <f>"0001289053"</f>
        <v>0001289053</v>
      </c>
      <c r="D515" s="11" t="str">
        <f>"C++ and C tools, utilities, libraries, and resources : free and commercial software tools / David Spuler.-- Prentice Hall PTR; c1996."</f>
        <v>C++ and C tools, utilities, libraries, and resources : free and commercial software tools / David Spuler.-- Prentice Hall PTR; c1996.</v>
      </c>
      <c r="E515" s="11" t="str">
        <f>""</f>
        <v/>
      </c>
      <c r="F515" s="28" t="s">
        <v>8</v>
      </c>
      <c r="G515" s="29" t="str">
        <f>"007.64/SP"</f>
        <v>007.64/SP</v>
      </c>
      <c r="H515" s="10" t="str">
        <f>"1997/04/24"</f>
        <v>1997/04/24</v>
      </c>
      <c r="I515" s="12">
        <v>8779</v>
      </c>
      <c r="J515" s="12">
        <v>100</v>
      </c>
      <c r="K515" s="10" t="str">
        <f>"2  洋書"</f>
        <v>2  洋書</v>
      </c>
      <c r="L515" s="13"/>
    </row>
    <row r="516" spans="1:12" ht="48" x14ac:dyDescent="0.15">
      <c r="A516" s="36">
        <v>515</v>
      </c>
      <c r="B516" s="3" t="s">
        <v>16</v>
      </c>
      <c r="C516" s="4" t="str">
        <f>"0001511864"</f>
        <v>0001511864</v>
      </c>
      <c r="D516" s="5" t="str">
        <f>"Common LISP : the language / Guy L. Steele, Jr. ; with contributions by Scott E. Fahlman ... [et al.] ; : pbk., : hard, : Prentice Hall.-- 2nd ed / with contributions to the second editions by Daniel G. Bobrow ... [et al.].-- Digital Press; c1990."</f>
        <v>Common LISP : the language / Guy L. Steele, Jr. ; with contributions by Scott E. Fahlman ... [et al.] ; : pbk., : hard, : Prentice Hall.-- 2nd ed / with contributions to the second editions by Daniel G. Bobrow ... [et al.].-- Digital Press; c1990.</v>
      </c>
      <c r="E516" s="5" t="str">
        <f>": pbk."</f>
        <v>: pbk.</v>
      </c>
      <c r="F516" s="26"/>
      <c r="G516" s="27" t="str">
        <f t="shared" ref="G516:G523" si="28">"007.64/ST"</f>
        <v>007.64/ST</v>
      </c>
      <c r="H516" s="4" t="str">
        <f>"1997/03/31"</f>
        <v>1997/03/31</v>
      </c>
      <c r="I516" s="6">
        <v>9800</v>
      </c>
      <c r="J516" s="6">
        <v>100</v>
      </c>
      <c r="K516" s="4" t="str">
        <f>"2  洋書"</f>
        <v>2  洋書</v>
      </c>
      <c r="L516" s="7"/>
    </row>
    <row r="517" spans="1:12" ht="48" x14ac:dyDescent="0.15">
      <c r="A517" s="36">
        <v>516</v>
      </c>
      <c r="B517" s="3" t="s">
        <v>16</v>
      </c>
      <c r="C517" s="4" t="str">
        <f>"0003622179"</f>
        <v>0003622179</v>
      </c>
      <c r="D517" s="5" t="str">
        <f>"Common LISP : the language / Guy L. Steele, Jr. ; with contributions by Scott E. Fahlman ... [et al.] ; : pbk., : hard, : Prentice Hall.-- 2nd ed / with contributions to the second editions by Daniel G. Bobrow ... [et al.].-- Digital Press; c1990."</f>
        <v>Common LISP : the language / Guy L. Steele, Jr. ; with contributions by Scott E. Fahlman ... [et al.] ; : pbk., : hard, : Prentice Hall.-- 2nd ed / with contributions to the second editions by Daniel G. Bobrow ... [et al.].-- Digital Press; c1990.</v>
      </c>
      <c r="E517" s="5" t="str">
        <f>": pbk."</f>
        <v>: pbk.</v>
      </c>
      <c r="F517" s="26"/>
      <c r="G517" s="27" t="str">
        <f t="shared" si="28"/>
        <v>007.64/ST</v>
      </c>
      <c r="H517" s="4" t="str">
        <f>"2016/11/30"</f>
        <v>2016/11/30</v>
      </c>
      <c r="I517" s="6">
        <v>6479</v>
      </c>
      <c r="J517" s="6">
        <v>100</v>
      </c>
      <c r="K517" s="4" t="str">
        <f>"1  和書"</f>
        <v>1  和書</v>
      </c>
      <c r="L517" s="7"/>
    </row>
    <row r="518" spans="1:12" ht="24" x14ac:dyDescent="0.15">
      <c r="A518" s="36">
        <v>517</v>
      </c>
      <c r="B518" s="3" t="s">
        <v>16</v>
      </c>
      <c r="C518" s="10" t="str">
        <f>"0000474016"</f>
        <v>0000474016</v>
      </c>
      <c r="D518" s="11" t="str">
        <f>"Structuring techniques : an introduction using C++ / by Andrew C. Staugaard, Jr.-- Prentice Hall; c1994."</f>
        <v>Structuring techniques : an introduction using C++ / by Andrew C. Staugaard, Jr.-- Prentice Hall; c1994.</v>
      </c>
      <c r="E518" s="11" t="str">
        <f>""</f>
        <v/>
      </c>
      <c r="F518" s="28" t="s">
        <v>8</v>
      </c>
      <c r="G518" s="29" t="str">
        <f t="shared" si="28"/>
        <v>007.64/ST</v>
      </c>
      <c r="H518" s="10" t="str">
        <f>"1994/07/19"</f>
        <v>1994/07/19</v>
      </c>
      <c r="I518" s="12">
        <v>5830</v>
      </c>
      <c r="J518" s="12">
        <v>100</v>
      </c>
      <c r="K518" s="10" t="str">
        <f t="shared" ref="K518:K527" si="29">"2  洋書"</f>
        <v>2  洋書</v>
      </c>
      <c r="L518" s="13"/>
    </row>
    <row r="519" spans="1:12" ht="36" x14ac:dyDescent="0.15">
      <c r="A519" s="36">
        <v>518</v>
      </c>
      <c r="B519" s="3" t="s">
        <v>16</v>
      </c>
      <c r="C519" s="10" t="str">
        <f>"0000481410"</f>
        <v>0000481410</v>
      </c>
      <c r="D519" s="11" t="str">
        <f>"The art of Prolog : advanced programming techniques / Leon Sterling, Ehud Shapiro ; with a foreword by David H.D. Warren.-- 2nd ed.-- MIT Press; 1994.-- (MIT Press series in logic programming)."</f>
        <v>The art of Prolog : advanced programming techniques / Leon Sterling, Ehud Shapiro ; with a foreword by David H.D. Warren.-- 2nd ed.-- MIT Press; 1994.-- (MIT Press series in logic programming).</v>
      </c>
      <c r="E519" s="11" t="str">
        <f>""</f>
        <v/>
      </c>
      <c r="F519" s="28" t="s">
        <v>8</v>
      </c>
      <c r="G519" s="29" t="str">
        <f t="shared" si="28"/>
        <v>007.64/ST</v>
      </c>
      <c r="H519" s="10" t="str">
        <f>"1994/09/20"</f>
        <v>1994/09/20</v>
      </c>
      <c r="I519" s="12">
        <v>9993</v>
      </c>
      <c r="J519" s="12">
        <v>100</v>
      </c>
      <c r="K519" s="10" t="str">
        <f t="shared" si="29"/>
        <v>2  洋書</v>
      </c>
      <c r="L519" s="13"/>
    </row>
    <row r="520" spans="1:12" ht="24" x14ac:dyDescent="0.15">
      <c r="A520" s="36">
        <v>519</v>
      </c>
      <c r="B520" s="3" t="s">
        <v>16</v>
      </c>
      <c r="C520" s="10" t="str">
        <f>"0000537605"</f>
        <v>0000537605</v>
      </c>
      <c r="D520" s="11" t="str">
        <f>"The Practice of Prolog / edited by Leon S. Sterling.-- MIT Press; c1990.-- (Logic programming)."</f>
        <v>The Practice of Prolog / edited by Leon S. Sterling.-- MIT Press; c1990.-- (Logic programming).</v>
      </c>
      <c r="E520" s="11" t="str">
        <f>""</f>
        <v/>
      </c>
      <c r="F520" s="28" t="s">
        <v>8</v>
      </c>
      <c r="G520" s="29" t="str">
        <f t="shared" si="28"/>
        <v>007.64/ST</v>
      </c>
      <c r="H520" s="10" t="str">
        <f>"1995/03/03"</f>
        <v>1995/03/03</v>
      </c>
      <c r="I520" s="12">
        <v>7777</v>
      </c>
      <c r="J520" s="12">
        <v>100</v>
      </c>
      <c r="K520" s="10" t="str">
        <f t="shared" si="29"/>
        <v>2  洋書</v>
      </c>
      <c r="L520" s="13"/>
    </row>
    <row r="521" spans="1:12" ht="36" x14ac:dyDescent="0.15">
      <c r="A521" s="36">
        <v>520</v>
      </c>
      <c r="B521" s="3" t="s">
        <v>16</v>
      </c>
      <c r="C521" s="10" t="str">
        <f>"0000885652"</f>
        <v>0000885652</v>
      </c>
      <c r="D521" s="11" t="str">
        <f>"The art of Prolog : advanced programming techniques / Leon Sterling, Ehud Shapiro ; with a foreword by David H.D. Warren.-- 2nd ed.-- MIT Press; 1994.-- (MIT Press series in logic programming)."</f>
        <v>The art of Prolog : advanced programming techniques / Leon Sterling, Ehud Shapiro ; with a foreword by David H.D. Warren.-- 2nd ed.-- MIT Press; 1994.-- (MIT Press series in logic programming).</v>
      </c>
      <c r="E521" s="11" t="str">
        <f>""</f>
        <v/>
      </c>
      <c r="F521" s="28" t="s">
        <v>8</v>
      </c>
      <c r="G521" s="29" t="str">
        <f t="shared" si="28"/>
        <v>007.64/ST</v>
      </c>
      <c r="H521" s="10" t="str">
        <f>"1995/12/11"</f>
        <v>1995/12/11</v>
      </c>
      <c r="I521" s="12">
        <v>22843</v>
      </c>
      <c r="J521" s="14">
        <v>1000</v>
      </c>
      <c r="K521" s="10" t="str">
        <f t="shared" si="29"/>
        <v>2  洋書</v>
      </c>
      <c r="L521" s="13"/>
    </row>
    <row r="522" spans="1:12" ht="24" x14ac:dyDescent="0.15">
      <c r="A522" s="36">
        <v>521</v>
      </c>
      <c r="B522" s="3" t="s">
        <v>16</v>
      </c>
      <c r="C522" s="10" t="str">
        <f>"0001277852"</f>
        <v>0001277852</v>
      </c>
      <c r="D522" s="11" t="str">
        <f>"The C++ graphics programming handbook / Roger T. Stevens.-- AP Prfessional; c1996."</f>
        <v>The C++ graphics programming handbook / Roger T. Stevens.-- AP Prfessional; c1996.</v>
      </c>
      <c r="E522" s="11" t="str">
        <f>""</f>
        <v/>
      </c>
      <c r="F522" s="28" t="s">
        <v>8</v>
      </c>
      <c r="G522" s="29" t="str">
        <f t="shared" si="28"/>
        <v>007.64/ST</v>
      </c>
      <c r="H522" s="10" t="str">
        <f>"1996/10/15"</f>
        <v>1996/10/15</v>
      </c>
      <c r="I522" s="12">
        <v>6071</v>
      </c>
      <c r="J522" s="12">
        <v>100</v>
      </c>
      <c r="K522" s="10" t="str">
        <f t="shared" si="29"/>
        <v>2  洋書</v>
      </c>
      <c r="L522" s="13"/>
    </row>
    <row r="523" spans="1:12" ht="24" x14ac:dyDescent="0.15">
      <c r="A523" s="36">
        <v>522</v>
      </c>
      <c r="B523" s="3" t="s">
        <v>16</v>
      </c>
      <c r="C523" s="10" t="str">
        <f>"0001661668"</f>
        <v>0001661668</v>
      </c>
      <c r="D523" s="11" t="str">
        <f>"The C++ programming language / Bjarne Stroustrup.-- 3rd ed.-- Addison-Wesley; 1997."</f>
        <v>The C++ programming language / Bjarne Stroustrup.-- 3rd ed.-- Addison-Wesley; 1997.</v>
      </c>
      <c r="E523" s="11" t="str">
        <f>""</f>
        <v/>
      </c>
      <c r="F523" s="28" t="s">
        <v>8</v>
      </c>
      <c r="G523" s="29" t="str">
        <f t="shared" si="28"/>
        <v>007.64/ST</v>
      </c>
      <c r="H523" s="10" t="str">
        <f>"1997/12/10"</f>
        <v>1997/12/10</v>
      </c>
      <c r="I523" s="12">
        <v>7172</v>
      </c>
      <c r="J523" s="12">
        <v>100</v>
      </c>
      <c r="K523" s="10" t="str">
        <f t="shared" si="29"/>
        <v>2  洋書</v>
      </c>
      <c r="L523" s="13"/>
    </row>
    <row r="524" spans="1:12" ht="24" x14ac:dyDescent="0.15">
      <c r="A524" s="36">
        <v>523</v>
      </c>
      <c r="B524" s="3" t="s">
        <v>16</v>
      </c>
      <c r="C524" s="10" t="str">
        <f>"0001690934"</f>
        <v>0001690934</v>
      </c>
      <c r="D524" s="11" t="str">
        <f>"C++ programming with CORBA / Andreas Vogel ... [et al.].-- Wiley; c1999."</f>
        <v>C++ programming with CORBA / Andreas Vogel ... [et al.].-- Wiley; c1999.</v>
      </c>
      <c r="E524" s="11" t="str">
        <f>""</f>
        <v/>
      </c>
      <c r="F524" s="28" t="s">
        <v>8</v>
      </c>
      <c r="G524" s="29" t="str">
        <f>"007.64/VO"</f>
        <v>007.64/VO</v>
      </c>
      <c r="H524" s="10" t="str">
        <f>"1999/04/06"</f>
        <v>1999/04/06</v>
      </c>
      <c r="I524" s="12">
        <v>6887</v>
      </c>
      <c r="J524" s="12">
        <v>100</v>
      </c>
      <c r="K524" s="10" t="str">
        <f t="shared" si="29"/>
        <v>2  洋書</v>
      </c>
      <c r="L524" s="13"/>
    </row>
    <row r="525" spans="1:12" ht="24" x14ac:dyDescent="0.15">
      <c r="A525" s="36">
        <v>524</v>
      </c>
      <c r="B525" s="3" t="s">
        <v>16</v>
      </c>
      <c r="C525" s="10" t="str">
        <f>"0001263114"</f>
        <v>0001263114</v>
      </c>
      <c r="D525" s="11" t="str">
        <f>"Classical algorithms in C++ : with new approaches to sorting, searching, and selection / Nicholas Wilt.-- Wiley; c1995."</f>
        <v>Classical algorithms in C++ : with new approaches to sorting, searching, and selection / Nicholas Wilt.-- Wiley; c1995.</v>
      </c>
      <c r="E525" s="11" t="str">
        <f>""</f>
        <v/>
      </c>
      <c r="F525" s="28" t="s">
        <v>8</v>
      </c>
      <c r="G525" s="29" t="str">
        <f>"007.64/WI"</f>
        <v>007.64/WI</v>
      </c>
      <c r="H525" s="10" t="str">
        <f>"1996/02/21"</f>
        <v>1996/02/21</v>
      </c>
      <c r="I525" s="12">
        <v>5552</v>
      </c>
      <c r="J525" s="12">
        <v>100</v>
      </c>
      <c r="K525" s="10" t="str">
        <f t="shared" si="29"/>
        <v>2  洋書</v>
      </c>
      <c r="L525" s="13"/>
    </row>
    <row r="526" spans="1:12" ht="36" x14ac:dyDescent="0.15">
      <c r="A526" s="36">
        <v>525</v>
      </c>
      <c r="B526" s="3" t="s">
        <v>16</v>
      </c>
      <c r="C526" s="10" t="str">
        <f>"0001695373"</f>
        <v>0001695373</v>
      </c>
      <c r="D526" s="11" t="str">
        <f>"Using CRC cards : an informal approach to object-oriented development / Nancy M. Wilkinson ; : SIGS, : PH.-- SIGS Books; c1995.-- (Advances in object technology ; 6)."</f>
        <v>Using CRC cards : an informal approach to object-oriented development / Nancy M. Wilkinson ; : SIGS, : PH.-- SIGS Books; c1995.-- (Advances in object technology ; 6).</v>
      </c>
      <c r="E526" s="11" t="str">
        <f>": PH"</f>
        <v>: PH</v>
      </c>
      <c r="F526" s="28" t="s">
        <v>8</v>
      </c>
      <c r="G526" s="29" t="str">
        <f>"007.64/WI"</f>
        <v>007.64/WI</v>
      </c>
      <c r="H526" s="10" t="str">
        <f>"1999/07/23"</f>
        <v>1999/07/23</v>
      </c>
      <c r="I526" s="12">
        <v>5698</v>
      </c>
      <c r="J526" s="12">
        <v>100</v>
      </c>
      <c r="K526" s="10" t="str">
        <f t="shared" si="29"/>
        <v>2  洋書</v>
      </c>
      <c r="L526" s="13"/>
    </row>
    <row r="527" spans="1:12" ht="36" x14ac:dyDescent="0.15">
      <c r="A527" s="36">
        <v>526</v>
      </c>
      <c r="B527" s="3" t="s">
        <v>16</v>
      </c>
      <c r="C527" s="10" t="str">
        <f>"0001662221"</f>
        <v>0001662221</v>
      </c>
      <c r="D527" s="11" t="str">
        <f>"Using Z : specification, refinement, and proof / Jim Woodcock and Jim Davies.-- Prentice Hall; 1996.-- (Prentice-Hall International series in computer science)."</f>
        <v>Using Z : specification, refinement, and proof / Jim Woodcock and Jim Davies.-- Prentice Hall; 1996.-- (Prentice-Hall International series in computer science).</v>
      </c>
      <c r="E527" s="11" t="str">
        <f>""</f>
        <v/>
      </c>
      <c r="F527" s="28" t="s">
        <v>8</v>
      </c>
      <c r="G527" s="29" t="str">
        <f>"007.64/WO"</f>
        <v>007.64/WO</v>
      </c>
      <c r="H527" s="10" t="str">
        <f>"1997/12/08"</f>
        <v>1997/12/08</v>
      </c>
      <c r="I527" s="12">
        <v>6558</v>
      </c>
      <c r="J527" s="12">
        <v>100</v>
      </c>
      <c r="K527" s="10" t="str">
        <f t="shared" si="29"/>
        <v>2  洋書</v>
      </c>
      <c r="L527" s="13"/>
    </row>
    <row r="528" spans="1:12" ht="24" x14ac:dyDescent="0.15">
      <c r="A528" s="36">
        <v>527</v>
      </c>
      <c r="B528" s="3" t="s">
        <v>16</v>
      </c>
      <c r="C528" s="10" t="str">
        <f>"0001272956"</f>
        <v>0001272956</v>
      </c>
      <c r="D528" s="11" t="str">
        <f>"The little Web book / by Alfred and Emily Glossbrenner ; illustrations by John Grimes.-- Peachpit Press; c1996."</f>
        <v>The little Web book / by Alfred and Emily Glossbrenner ; illustrations by John Grimes.-- Peachpit Press; c1996.</v>
      </c>
      <c r="E528" s="11" t="str">
        <f>""</f>
        <v/>
      </c>
      <c r="F528" s="28" t="s">
        <v>8</v>
      </c>
      <c r="G528" s="29" t="str">
        <f>"007.7/GL"</f>
        <v>007.7/GL</v>
      </c>
      <c r="H528" s="10" t="str">
        <f>"1996/07/19"</f>
        <v>1996/07/19</v>
      </c>
      <c r="I528" s="12">
        <v>2196</v>
      </c>
      <c r="J528" s="12">
        <v>100</v>
      </c>
      <c r="K528" s="10" t="str">
        <f>"2  洋書"</f>
        <v>2  洋書</v>
      </c>
      <c r="L528" s="13"/>
    </row>
    <row r="529" spans="1:12" ht="24" x14ac:dyDescent="0.15">
      <c r="A529" s="36">
        <v>528</v>
      </c>
      <c r="B529" s="3" t="s">
        <v>16</v>
      </c>
      <c r="C529" s="4" t="str">
        <f>"0001292527"</f>
        <v>0001292527</v>
      </c>
      <c r="D529" s="5" t="str">
        <f>"Intelligent multimedia information retrieval / edited by Mark T. Maybury ; : pbk : alk. paper.-- AAAI Press."</f>
        <v>Intelligent multimedia information retrieval / edited by Mark T. Maybury ; : pbk : alk. paper.-- AAAI Press.</v>
      </c>
      <c r="E529" s="5" t="str">
        <f>": pbk : alk. paper"</f>
        <v>: pbk : alk. paper</v>
      </c>
      <c r="F529" s="26"/>
      <c r="G529" s="27" t="str">
        <f>"007.7/IN"</f>
        <v>007.7/IN</v>
      </c>
      <c r="H529" s="4" t="str">
        <f>"1997/06/04"</f>
        <v>1997/06/04</v>
      </c>
      <c r="I529" s="6">
        <v>8079</v>
      </c>
      <c r="J529" s="6">
        <v>100</v>
      </c>
      <c r="K529" s="4" t="str">
        <f>"2  洋書"</f>
        <v>2  洋書</v>
      </c>
      <c r="L529" s="7"/>
    </row>
    <row r="530" spans="1:12" ht="24" x14ac:dyDescent="0.15">
      <c r="A530" s="36">
        <v>529</v>
      </c>
      <c r="B530" s="3" t="s">
        <v>16</v>
      </c>
      <c r="C530" s="4" t="str">
        <f>"0000223737"</f>
        <v>0000223737</v>
      </c>
      <c r="D530" s="5" t="str">
        <f>"図書館通論 / 小野泰博 [ほか] 著.-- 東京書籍; 1983.9.-- (現代図書館学講座 ; 1)."</f>
        <v>図書館通論 / 小野泰博 [ほか] 著.-- 東京書籍; 1983.9.-- (現代図書館学講座 ; 1).</v>
      </c>
      <c r="E530" s="5" t="str">
        <f>""</f>
        <v/>
      </c>
      <c r="F530" s="26"/>
      <c r="G530" s="27" t="str">
        <f>"010.8/ｹﾞﾝ/1"</f>
        <v>010.8/ｹﾞﾝ/1</v>
      </c>
      <c r="H530" s="4" t="str">
        <f>"1994/03/31"</f>
        <v>1994/03/31</v>
      </c>
      <c r="I530" s="6">
        <v>1280</v>
      </c>
      <c r="J530" s="6">
        <v>100</v>
      </c>
      <c r="K530" s="4" t="str">
        <f t="shared" ref="K530:K554" si="30">"1  和書"</f>
        <v>1  和書</v>
      </c>
      <c r="L530" s="7"/>
    </row>
    <row r="531" spans="1:12" ht="24" x14ac:dyDescent="0.15">
      <c r="A531" s="36">
        <v>530</v>
      </c>
      <c r="B531" s="3" t="s">
        <v>16</v>
      </c>
      <c r="C531" s="4" t="str">
        <f>"0000231770"</f>
        <v>0000231770</v>
      </c>
      <c r="D531" s="5" t="str">
        <f>"新図書館資料論 / 河井弘志編著.-- 東京書籍; 1993.8.-- (現代図書館学講座 ; 2)."</f>
        <v>新図書館資料論 / 河井弘志編著.-- 東京書籍; 1993.8.-- (現代図書館学講座 ; 2).</v>
      </c>
      <c r="E531" s="5" t="str">
        <f>""</f>
        <v/>
      </c>
      <c r="F531" s="26"/>
      <c r="G531" s="27" t="str">
        <f>"010.8/ｹﾞﾝ/2"</f>
        <v>010.8/ｹﾞﾝ/2</v>
      </c>
      <c r="H531" s="4" t="str">
        <f>"1994/03/31"</f>
        <v>1994/03/31</v>
      </c>
      <c r="I531" s="6">
        <v>1657</v>
      </c>
      <c r="J531" s="6">
        <v>100</v>
      </c>
      <c r="K531" s="4" t="str">
        <f t="shared" si="30"/>
        <v>1  和書</v>
      </c>
      <c r="L531" s="7"/>
    </row>
    <row r="532" spans="1:12" ht="24" x14ac:dyDescent="0.15">
      <c r="A532" s="36">
        <v>531</v>
      </c>
      <c r="B532" s="3" t="s">
        <v>16</v>
      </c>
      <c r="C532" s="4" t="str">
        <f>"0002461076"</f>
        <v>0002461076</v>
      </c>
      <c r="D532" s="5" t="str">
        <f>"文献を探すための本 / 斉藤孝 [ほか] 著.-- 日本エディタースクール出版部; 1989.4."</f>
        <v>文献を探すための本 / 斉藤孝 [ほか] 著.-- 日本エディタースクール出版部; 1989.4.</v>
      </c>
      <c r="E532" s="5" t="str">
        <f>""</f>
        <v/>
      </c>
      <c r="F532" s="26"/>
      <c r="G532" s="27" t="str">
        <f>"015.2/ｻｲ"</f>
        <v>015.2/ｻｲ</v>
      </c>
      <c r="H532" s="4" t="str">
        <f>"2001/09/04"</f>
        <v>2001/09/04</v>
      </c>
      <c r="I532" s="6">
        <v>1417</v>
      </c>
      <c r="J532" s="6">
        <v>100</v>
      </c>
      <c r="K532" s="4" t="str">
        <f t="shared" si="30"/>
        <v>1  和書</v>
      </c>
      <c r="L532" s="7"/>
    </row>
    <row r="533" spans="1:12" ht="22.5" x14ac:dyDescent="0.15">
      <c r="A533" s="36">
        <v>532</v>
      </c>
      <c r="B533" s="9" t="s">
        <v>24</v>
      </c>
      <c r="C533" s="10" t="str">
        <f>"0002348971"</f>
        <v>0002348971</v>
      </c>
      <c r="D533" s="11" t="str">
        <f>"LATEX2ε トータルガイド / 伊藤和人著.-- 秀和システム; 2000.10."</f>
        <v>LATEX2ε トータルガイド / 伊藤和人著.-- 秀和システム; 2000.10.</v>
      </c>
      <c r="E533" s="11" t="str">
        <f>""</f>
        <v/>
      </c>
      <c r="F533" s="28" t="s">
        <v>8</v>
      </c>
      <c r="G533" s="29" t="str">
        <f>"021.4/ｲﾄ"</f>
        <v>021.4/ｲﾄ</v>
      </c>
      <c r="H533" s="10" t="str">
        <f>"2002/04/30"</f>
        <v>2002/04/30</v>
      </c>
      <c r="I533" s="12">
        <v>1</v>
      </c>
      <c r="J533" s="12">
        <v>100</v>
      </c>
      <c r="K533" s="10" t="str">
        <f t="shared" si="30"/>
        <v>1  和書</v>
      </c>
      <c r="L533" s="13"/>
    </row>
    <row r="534" spans="1:12" ht="24" x14ac:dyDescent="0.15">
      <c r="A534" s="36">
        <v>533</v>
      </c>
      <c r="B534" s="9" t="s">
        <v>24</v>
      </c>
      <c r="C534" s="4" t="str">
        <f>"0002777207"</f>
        <v>0002777207</v>
      </c>
      <c r="D534" s="5" t="str">
        <f>"LATEX2ε美文書作成入門 / 奥村晴彦著.-- 改訂第4版.-- 技術評論社; 2007.1."</f>
        <v>LATEX2ε美文書作成入門 / 奥村晴彦著.-- 改訂第4版.-- 技術評論社; 2007.1.</v>
      </c>
      <c r="E534" s="5" t="str">
        <f>""</f>
        <v/>
      </c>
      <c r="F534" s="26"/>
      <c r="G534" s="27" t="str">
        <f>"021.4/ｵｸ"</f>
        <v>021.4/ｵｸ</v>
      </c>
      <c r="H534" s="4" t="str">
        <f>"2008/10/16"</f>
        <v>2008/10/16</v>
      </c>
      <c r="I534" s="6">
        <v>3005</v>
      </c>
      <c r="J534" s="6">
        <v>100</v>
      </c>
      <c r="K534" s="4" t="str">
        <f t="shared" si="30"/>
        <v>1  和書</v>
      </c>
      <c r="L534" s="7"/>
    </row>
    <row r="535" spans="1:12" ht="24" x14ac:dyDescent="0.15">
      <c r="A535" s="36">
        <v>534</v>
      </c>
      <c r="B535" s="9" t="s">
        <v>24</v>
      </c>
      <c r="C535" s="4" t="str">
        <f>"0002777214"</f>
        <v>0002777214</v>
      </c>
      <c r="D535" s="5" t="str">
        <f>"LATEX2ε美文書作成入門 / 奥村晴彦著.-- 改訂第4版.-- 技術評論社; 2007.1."</f>
        <v>LATEX2ε美文書作成入門 / 奥村晴彦著.-- 改訂第4版.-- 技術評論社; 2007.1.</v>
      </c>
      <c r="E535" s="5" t="str">
        <f>""</f>
        <v/>
      </c>
      <c r="F535" s="26"/>
      <c r="G535" s="27" t="str">
        <f>"021.4/ｵｸ"</f>
        <v>021.4/ｵｸ</v>
      </c>
      <c r="H535" s="4" t="str">
        <f>"2008/10/16"</f>
        <v>2008/10/16</v>
      </c>
      <c r="I535" s="6">
        <v>3005</v>
      </c>
      <c r="J535" s="6">
        <v>100</v>
      </c>
      <c r="K535" s="4" t="str">
        <f t="shared" si="30"/>
        <v>1  和書</v>
      </c>
      <c r="L535" s="7"/>
    </row>
    <row r="536" spans="1:12" ht="24" x14ac:dyDescent="0.15">
      <c r="A536" s="36">
        <v>535</v>
      </c>
      <c r="B536" s="9" t="s">
        <v>24</v>
      </c>
      <c r="C536" s="4" t="str">
        <f>"0002777221"</f>
        <v>0002777221</v>
      </c>
      <c r="D536" s="5" t="str">
        <f>"LATEX2ε美文書作成入門 / 奥村晴彦著.-- 改訂第4版.-- 技術評論社; 2007.1."</f>
        <v>LATEX2ε美文書作成入門 / 奥村晴彦著.-- 改訂第4版.-- 技術評論社; 2007.1.</v>
      </c>
      <c r="E536" s="5" t="str">
        <f>""</f>
        <v/>
      </c>
      <c r="F536" s="26"/>
      <c r="G536" s="27" t="str">
        <f>"021.4/ｵｸ"</f>
        <v>021.4/ｵｸ</v>
      </c>
      <c r="H536" s="4" t="str">
        <f>"2008/10/16"</f>
        <v>2008/10/16</v>
      </c>
      <c r="I536" s="6">
        <v>3005</v>
      </c>
      <c r="J536" s="6">
        <v>100</v>
      </c>
      <c r="K536" s="4" t="str">
        <f t="shared" si="30"/>
        <v>1  和書</v>
      </c>
      <c r="L536" s="7"/>
    </row>
    <row r="537" spans="1:12" ht="24" x14ac:dyDescent="0.15">
      <c r="A537" s="36">
        <v>536</v>
      </c>
      <c r="B537" s="9" t="s">
        <v>24</v>
      </c>
      <c r="C537" s="10" t="str">
        <f>"0002765303"</f>
        <v>0002765303</v>
      </c>
      <c r="D537" s="11" t="str">
        <f>"LATEX2ε美文書作成入門 / 奥村晴彦著.-- 改訂第3版.-- 技術評論社; 2004.2."</f>
        <v>LATEX2ε美文書作成入門 / 奥村晴彦著.-- 改訂第3版.-- 技術評論社; 2004.2.</v>
      </c>
      <c r="E537" s="11" t="str">
        <f>""</f>
        <v/>
      </c>
      <c r="F537" s="28" t="s">
        <v>8</v>
      </c>
      <c r="G537" s="29" t="str">
        <f>"021.4/ｵｸ"</f>
        <v>021.4/ｵｸ</v>
      </c>
      <c r="H537" s="10" t="str">
        <f>"2006/05/08"</f>
        <v>2006/05/08</v>
      </c>
      <c r="I537" s="12">
        <v>2816</v>
      </c>
      <c r="J537" s="12">
        <v>100</v>
      </c>
      <c r="K537" s="10" t="str">
        <f t="shared" si="30"/>
        <v>1  和書</v>
      </c>
      <c r="L537" s="13"/>
    </row>
    <row r="538" spans="1:12" ht="24" x14ac:dyDescent="0.15">
      <c r="A538" s="36">
        <v>537</v>
      </c>
      <c r="B538" s="9" t="s">
        <v>24</v>
      </c>
      <c r="C538" s="10" t="str">
        <f>"0000948739"</f>
        <v>0000948739</v>
      </c>
      <c r="D538" s="11" t="str">
        <f>"日本語LATEX定番スタイル集 / 鷺谷好輝著 ; インプレス編集部編 ; No. 1, No. 2, No. 3.-- インプレス; 1992.12-1994.5."</f>
        <v>日本語LATEX定番スタイル集 / 鷺谷好輝著 ; インプレス編集部編 ; No. 1, No. 2, No. 3.-- インプレス; 1992.12-1994.5.</v>
      </c>
      <c r="E538" s="11" t="str">
        <f>"No. 1"</f>
        <v>No. 1</v>
      </c>
      <c r="F538" s="28" t="s">
        <v>8</v>
      </c>
      <c r="G538" s="29" t="str">
        <f>"021.4/ｻｷﾞ/1"</f>
        <v>021.4/ｻｷﾞ/1</v>
      </c>
      <c r="H538" s="10" t="str">
        <f>"1996/03/30"</f>
        <v>1996/03/30</v>
      </c>
      <c r="I538" s="12">
        <v>4050</v>
      </c>
      <c r="J538" s="12">
        <v>100</v>
      </c>
      <c r="K538" s="10" t="str">
        <f t="shared" si="30"/>
        <v>1  和書</v>
      </c>
      <c r="L538" s="13"/>
    </row>
    <row r="539" spans="1:12" ht="24" x14ac:dyDescent="0.15">
      <c r="A539" s="36">
        <v>538</v>
      </c>
      <c r="B539" s="9" t="s">
        <v>24</v>
      </c>
      <c r="C539" s="10" t="str">
        <f>"0000948746"</f>
        <v>0000948746</v>
      </c>
      <c r="D539" s="11" t="str">
        <f>"日本語LATEX定番スタイル集 / 鷺谷好輝著 ; インプレス編集部編 ; No. 1, No. 2, No. 3.-- インプレス; 1992.12-1994.5."</f>
        <v>日本語LATEX定番スタイル集 / 鷺谷好輝著 ; インプレス編集部編 ; No. 1, No. 2, No. 3.-- インプレス; 1992.12-1994.5.</v>
      </c>
      <c r="E539" s="11" t="str">
        <f>"No. 2"</f>
        <v>No. 2</v>
      </c>
      <c r="F539" s="28" t="s">
        <v>8</v>
      </c>
      <c r="G539" s="29" t="str">
        <f>"021.4/ｻｷﾞ/2"</f>
        <v>021.4/ｻｷﾞ/2</v>
      </c>
      <c r="H539" s="10" t="str">
        <f>"1996/03/30"</f>
        <v>1996/03/30</v>
      </c>
      <c r="I539" s="12">
        <v>3580</v>
      </c>
      <c r="J539" s="12">
        <v>100</v>
      </c>
      <c r="K539" s="10" t="str">
        <f t="shared" si="30"/>
        <v>1  和書</v>
      </c>
      <c r="L539" s="13"/>
    </row>
    <row r="540" spans="1:12" ht="24" x14ac:dyDescent="0.15">
      <c r="A540" s="36">
        <v>539</v>
      </c>
      <c r="B540" s="9" t="s">
        <v>24</v>
      </c>
      <c r="C540" s="10" t="str">
        <f>"0000948753"</f>
        <v>0000948753</v>
      </c>
      <c r="D540" s="11" t="str">
        <f>"日本語LATEX定番スタイル集 / 鷺谷好輝著 ; インプレス編集部編 ; No. 1, No. 2, No. 3.-- インプレス; 1992.12-1994.5."</f>
        <v>日本語LATEX定番スタイル集 / 鷺谷好輝著 ; インプレス編集部編 ; No. 1, No. 2, No. 3.-- インプレス; 1992.12-1994.5.</v>
      </c>
      <c r="E540" s="11" t="str">
        <f>"No. 3"</f>
        <v>No. 3</v>
      </c>
      <c r="F540" s="28" t="s">
        <v>8</v>
      </c>
      <c r="G540" s="29" t="str">
        <f>"021.4/ｻｷﾞ/3"</f>
        <v>021.4/ｻｷﾞ/3</v>
      </c>
      <c r="H540" s="10" t="str">
        <f>"1996/03/30"</f>
        <v>1996/03/30</v>
      </c>
      <c r="I540" s="12">
        <v>2680</v>
      </c>
      <c r="J540" s="12">
        <v>100</v>
      </c>
      <c r="K540" s="10" t="str">
        <f t="shared" si="30"/>
        <v>1  和書</v>
      </c>
      <c r="L540" s="13"/>
    </row>
    <row r="541" spans="1:12" ht="24" x14ac:dyDescent="0.15">
      <c r="A541" s="36">
        <v>540</v>
      </c>
      <c r="B541" s="9" t="s">
        <v>24</v>
      </c>
      <c r="C541" s="10" t="str">
        <f>"9100003379"</f>
        <v>9100003379</v>
      </c>
      <c r="D541" s="11" t="str">
        <f>"日本の出版社 : 全国出版社名簿 / 出版年鑑編集部編 ; 1954 - 2016-2017.-- 出版ニュース社; 1954-."</f>
        <v>日本の出版社 : 全国出版社名簿 / 出版年鑑編集部編 ; 1954 - 2016-2017.-- 出版ニュース社; 1954-.</v>
      </c>
      <c r="E541" s="11" t="str">
        <f>"2004"</f>
        <v>2004</v>
      </c>
      <c r="F541" s="28" t="s">
        <v>8</v>
      </c>
      <c r="G541" s="29" t="str">
        <f>"023.1ｼﾕ04"</f>
        <v>023.1ｼﾕ04</v>
      </c>
      <c r="H541" s="10" t="str">
        <f>"2003/12/18"</f>
        <v>2003/12/18</v>
      </c>
      <c r="I541" s="12">
        <v>4252</v>
      </c>
      <c r="J541" s="12">
        <v>100</v>
      </c>
      <c r="K541" s="10" t="str">
        <f t="shared" si="30"/>
        <v>1  和書</v>
      </c>
      <c r="L541" s="13"/>
    </row>
    <row r="542" spans="1:12" ht="24" x14ac:dyDescent="0.15">
      <c r="A542" s="36">
        <v>541</v>
      </c>
      <c r="B542" s="9" t="s">
        <v>24</v>
      </c>
      <c r="C542" s="4" t="str">
        <f>"9100003508"</f>
        <v>9100003508</v>
      </c>
      <c r="D542" s="5" t="str">
        <f>"雑誌新聞総かたろぐ / メディア・リサーチ・センター株式会社編 ; 1979年版 - 2019年版.-- メディア・リサーチ・センター; 1978-."</f>
        <v>雑誌新聞総かたろぐ / メディア・リサーチ・センター株式会社編 ; 1979年版 - 2019年版.-- メディア・リサーチ・センター; 1978-.</v>
      </c>
      <c r="E542" s="5" t="str">
        <f>"2003年版"</f>
        <v>2003年版</v>
      </c>
      <c r="F542" s="26"/>
      <c r="G542" s="27" t="str">
        <f>"R027.5/ﾒﾃﾞ/03"</f>
        <v>R027.5/ﾒﾃﾞ/03</v>
      </c>
      <c r="H542" s="4" t="str">
        <f>"2004/02/27"</f>
        <v>2004/02/27</v>
      </c>
      <c r="I542" s="6">
        <v>21735</v>
      </c>
      <c r="J542" s="8">
        <v>1000</v>
      </c>
      <c r="K542" s="4" t="str">
        <f t="shared" si="30"/>
        <v>1  和書</v>
      </c>
      <c r="L542" s="7"/>
    </row>
    <row r="543" spans="1:12" ht="22.5" x14ac:dyDescent="0.15">
      <c r="A543" s="36">
        <v>542</v>
      </c>
      <c r="B543" s="3" t="s">
        <v>25</v>
      </c>
      <c r="C543" s="4" t="str">
        <f>"0003625798"</f>
        <v>0003625798</v>
      </c>
      <c r="D543" s="5" t="str">
        <f>"フランスのマス・メディア法 / 大石泰彦著.-- 現代人文社."</f>
        <v>フランスのマス・メディア法 / 大石泰彦著.-- 現代人文社.</v>
      </c>
      <c r="E543" s="5" t="str">
        <f>""</f>
        <v/>
      </c>
      <c r="F543" s="26"/>
      <c r="G543" s="27" t="str">
        <f>"070.12/ｵｵ"</f>
        <v>070.12/ｵｵ</v>
      </c>
      <c r="H543" s="4" t="str">
        <f>"2017/07/27"</f>
        <v>2017/07/27</v>
      </c>
      <c r="I543" s="6">
        <v>4228</v>
      </c>
      <c r="J543" s="6">
        <v>100</v>
      </c>
      <c r="K543" s="4" t="str">
        <f t="shared" si="30"/>
        <v>1  和書</v>
      </c>
      <c r="L543" s="7"/>
    </row>
    <row r="544" spans="1:12" ht="22.5" x14ac:dyDescent="0.15">
      <c r="A544" s="36">
        <v>543</v>
      </c>
      <c r="B544" s="3" t="s">
        <v>25</v>
      </c>
      <c r="C544" s="4" t="str">
        <f>"0000083911"</f>
        <v>0000083911</v>
      </c>
      <c r="D544" s="5" t="str">
        <f>"朝野新聞の研究 / 鵜飼新一 [著].-- みすず書房; 1985.9."</f>
        <v>朝野新聞の研究 / 鵜飼新一 [著].-- みすず書房; 1985.9.</v>
      </c>
      <c r="E544" s="5" t="str">
        <f>""</f>
        <v/>
      </c>
      <c r="F544" s="26"/>
      <c r="G544" s="27" t="str">
        <f>"070.21/ｳｶ"</f>
        <v>070.21/ｳｶ</v>
      </c>
      <c r="H544" s="4" t="str">
        <f>"1994/03/31"</f>
        <v>1994/03/31</v>
      </c>
      <c r="I544" s="6">
        <v>7320</v>
      </c>
      <c r="J544" s="6">
        <v>100</v>
      </c>
      <c r="K544" s="4" t="str">
        <f t="shared" si="30"/>
        <v>1  和書</v>
      </c>
      <c r="L544" s="7"/>
    </row>
    <row r="545" spans="1:12" ht="24" x14ac:dyDescent="0.15">
      <c r="A545" s="36">
        <v>544</v>
      </c>
      <c r="B545" s="3" t="s">
        <v>26</v>
      </c>
      <c r="C545" s="4" t="str">
        <f>"0001155617"</f>
        <v>0001155617</v>
      </c>
      <c r="D545" s="5" t="str">
        <f>"明治事物起原.-- 復刻版.-- 日本評論社; 1993.1.-- (明治文化全集 / 明治文化研究会編集 ; 別巻)."</f>
        <v>明治事物起原.-- 復刻版.-- 日本評論社; 1993.1.-- (明治文化全集 / 明治文化研究会編集 ; 別巻).</v>
      </c>
      <c r="E545" s="5" t="str">
        <f>""</f>
        <v/>
      </c>
      <c r="F545" s="26"/>
      <c r="G545" s="27" t="str">
        <f>"081/ﾒｲ/29"</f>
        <v>081/ﾒｲ/29</v>
      </c>
      <c r="H545" s="4" t="str">
        <f>"1996/03/29"</f>
        <v>1996/03/29</v>
      </c>
      <c r="I545" s="6">
        <v>1170</v>
      </c>
      <c r="J545" s="6">
        <v>100</v>
      </c>
      <c r="K545" s="4" t="str">
        <f t="shared" si="30"/>
        <v>1  和書</v>
      </c>
      <c r="L545" s="7"/>
    </row>
    <row r="546" spans="1:12" ht="24" x14ac:dyDescent="0.15">
      <c r="A546" s="36">
        <v>545</v>
      </c>
      <c r="B546" s="3" t="s">
        <v>26</v>
      </c>
      <c r="C546" s="4" t="str">
        <f>"0002617800"</f>
        <v>0002617800</v>
      </c>
      <c r="D546" s="5" t="str">
        <f>"ラ・フランス / 多田道太郎著.-- 筑摩書房; 1994.7.-- (多田道太郎著作集 / 多田道太郎著 ; 1)."</f>
        <v>ラ・フランス / 多田道太郎著.-- 筑摩書房; 1994.7.-- (多田道太郎著作集 / 多田道太郎著 ; 1).</v>
      </c>
      <c r="E546" s="5" t="str">
        <f>""</f>
        <v/>
      </c>
      <c r="F546" s="26"/>
      <c r="G546" s="27" t="str">
        <f>"081.6/ﾀﾀﾞ/1"</f>
        <v>081.6/ﾀﾀﾞ/1</v>
      </c>
      <c r="H546" s="4" t="str">
        <f>"2003/02/14"</f>
        <v>2003/02/14</v>
      </c>
      <c r="I546" s="6">
        <v>3651</v>
      </c>
      <c r="J546" s="6">
        <v>100</v>
      </c>
      <c r="K546" s="4" t="str">
        <f t="shared" si="30"/>
        <v>1  和書</v>
      </c>
      <c r="L546" s="7"/>
    </row>
    <row r="547" spans="1:12" ht="24" x14ac:dyDescent="0.15">
      <c r="A547" s="36">
        <v>546</v>
      </c>
      <c r="B547" s="3" t="s">
        <v>26</v>
      </c>
      <c r="C547" s="4" t="str">
        <f>"0002617824"</f>
        <v>0002617824</v>
      </c>
      <c r="D547" s="5" t="str">
        <f>"しぐさの日本文化 / 多田道太郎著.-- 筑摩書房; 1994.3.-- (多田道太郎著作集 / 多田道太郎著 ; 3)."</f>
        <v>しぐさの日本文化 / 多田道太郎著.-- 筑摩書房; 1994.3.-- (多田道太郎著作集 / 多田道太郎著 ; 3).</v>
      </c>
      <c r="E547" s="5" t="str">
        <f>""</f>
        <v/>
      </c>
      <c r="F547" s="26"/>
      <c r="G547" s="27" t="str">
        <f>"081.6/ﾀﾀﾞ/3"</f>
        <v>081.6/ﾀﾀﾞ/3</v>
      </c>
      <c r="H547" s="4" t="str">
        <f>"2003/02/14"</f>
        <v>2003/02/14</v>
      </c>
      <c r="I547" s="6">
        <v>3651</v>
      </c>
      <c r="J547" s="6">
        <v>100</v>
      </c>
      <c r="K547" s="4" t="str">
        <f t="shared" si="30"/>
        <v>1  和書</v>
      </c>
      <c r="L547" s="7"/>
    </row>
    <row r="548" spans="1:12" ht="24" x14ac:dyDescent="0.15">
      <c r="A548" s="36">
        <v>547</v>
      </c>
      <c r="B548" s="3" t="s">
        <v>26</v>
      </c>
      <c r="C548" s="4" t="str">
        <f>"0002617831"</f>
        <v>0002617831</v>
      </c>
      <c r="D548" s="5" t="str">
        <f>"現代風俗ノート / 多田道太郎著.-- 筑摩書房; 1994.6.-- (多田道太郎著作集 / 多田道太郎著 ; 5)."</f>
        <v>現代風俗ノート / 多田道太郎著.-- 筑摩書房; 1994.6.-- (多田道太郎著作集 / 多田道太郎著 ; 5).</v>
      </c>
      <c r="E548" s="5" t="str">
        <f>""</f>
        <v/>
      </c>
      <c r="F548" s="26"/>
      <c r="G548" s="27" t="str">
        <f>"081.6/ﾀﾀﾞ/5"</f>
        <v>081.6/ﾀﾀﾞ/5</v>
      </c>
      <c r="H548" s="4" t="str">
        <f>"2003/02/14"</f>
        <v>2003/02/14</v>
      </c>
      <c r="I548" s="6">
        <v>3651</v>
      </c>
      <c r="J548" s="6">
        <v>100</v>
      </c>
      <c r="K548" s="4" t="str">
        <f t="shared" si="30"/>
        <v>1  和書</v>
      </c>
      <c r="L548" s="7"/>
    </row>
    <row r="549" spans="1:12" ht="24" x14ac:dyDescent="0.15">
      <c r="A549" s="36">
        <v>548</v>
      </c>
      <c r="B549" s="3" t="s">
        <v>27</v>
      </c>
      <c r="C549" s="4" t="str">
        <f>"0001838237"</f>
        <v>0001838237</v>
      </c>
      <c r="D549" s="5" t="str">
        <f>"ポストモダニズムの幻想 / テリー・イーグルトン著 ; 森田典正訳.-- 大月書店; 1998.5."</f>
        <v>ポストモダニズムの幻想 / テリー・イーグルトン著 ; 森田典正訳.-- 大月書店; 1998.5.</v>
      </c>
      <c r="E549" s="5" t="str">
        <f>""</f>
        <v/>
      </c>
      <c r="F549" s="26"/>
      <c r="G549" s="27" t="str">
        <f>"104/ｲｸﾞ"</f>
        <v>104/ｲｸﾞ</v>
      </c>
      <c r="H549" s="4" t="str">
        <f>"1998/08/12"</f>
        <v>1998/08/12</v>
      </c>
      <c r="I549" s="6">
        <v>2457</v>
      </c>
      <c r="J549" s="6">
        <v>100</v>
      </c>
      <c r="K549" s="4" t="str">
        <f t="shared" si="30"/>
        <v>1  和書</v>
      </c>
      <c r="L549" s="7"/>
    </row>
    <row r="550" spans="1:12" ht="24" x14ac:dyDescent="0.15">
      <c r="A550" s="36">
        <v>549</v>
      </c>
      <c r="B550" s="3" t="s">
        <v>27</v>
      </c>
      <c r="C550" s="10" t="str">
        <f>"0000206877"</f>
        <v>0000206877</v>
      </c>
      <c r="D550" s="11" t="str">
        <f>"仮面の解釈学 / 坂部恵著.-- 東京大学出版会; 1976.1.-- (UP選書 ; 153)."</f>
        <v>仮面の解釈学 / 坂部恵著.-- 東京大学出版会; 1976.1.-- (UP選書 ; 153).</v>
      </c>
      <c r="E550" s="11" t="str">
        <f>""</f>
        <v/>
      </c>
      <c r="F550" s="28" t="s">
        <v>8</v>
      </c>
      <c r="G550" s="29" t="str">
        <f>"104/ｻｶ"</f>
        <v>104/ｻｶ</v>
      </c>
      <c r="H550" s="10" t="str">
        <f>"1994/03/31"</f>
        <v>1994/03/31</v>
      </c>
      <c r="I550" s="12">
        <v>1361</v>
      </c>
      <c r="J550" s="12">
        <v>100</v>
      </c>
      <c r="K550" s="10" t="str">
        <f t="shared" si="30"/>
        <v>1  和書</v>
      </c>
      <c r="L550" s="13"/>
    </row>
    <row r="551" spans="1:12" x14ac:dyDescent="0.15">
      <c r="A551" s="36">
        <v>550</v>
      </c>
      <c r="B551" s="3" t="s">
        <v>27</v>
      </c>
      <c r="C551" s="4" t="str">
        <f>"0000274999"</f>
        <v>0000274999</v>
      </c>
      <c r="D551" s="5" t="str">
        <f>"現代思想の冒険 / 竹田青嗣著.-- 筑摩書房; 1992.6.-- (ちくま学芸文庫)."</f>
        <v>現代思想の冒険 / 竹田青嗣著.-- 筑摩書房; 1992.6.-- (ちくま学芸文庫).</v>
      </c>
      <c r="E551" s="5" t="str">
        <f>""</f>
        <v/>
      </c>
      <c r="F551" s="26"/>
      <c r="G551" s="27" t="str">
        <f>"104/ﾀｹ"</f>
        <v>104/ﾀｹ</v>
      </c>
      <c r="H551" s="4" t="str">
        <f>"1994/03/31"</f>
        <v>1994/03/31</v>
      </c>
      <c r="I551" s="6">
        <v>561</v>
      </c>
      <c r="J551" s="6">
        <v>100</v>
      </c>
      <c r="K551" s="4" t="str">
        <f t="shared" si="30"/>
        <v>1  和書</v>
      </c>
      <c r="L551" s="7"/>
    </row>
    <row r="552" spans="1:12" ht="24" x14ac:dyDescent="0.15">
      <c r="A552" s="36">
        <v>551</v>
      </c>
      <c r="B552" s="3" t="s">
        <v>27</v>
      </c>
      <c r="C552" s="4" t="str">
        <f>"0000876995"</f>
        <v>0000876995</v>
      </c>
      <c r="D552" s="5" t="str">
        <f>"暗黙知の領野 / グラハム・ダンスタン・マーティン著 ; 長尾力訳.-- 青土社; 1995.4."</f>
        <v>暗黙知の領野 / グラハム・ダンスタン・マーティン著 ; 長尾力訳.-- 青土社; 1995.4.</v>
      </c>
      <c r="E552" s="5" t="str">
        <f>""</f>
        <v/>
      </c>
      <c r="F552" s="26"/>
      <c r="G552" s="27" t="str">
        <f>"104/ﾏﾃ"</f>
        <v>104/ﾏﾃ</v>
      </c>
      <c r="H552" s="4" t="str">
        <f>"1995/10/26"</f>
        <v>1995/10/26</v>
      </c>
      <c r="I552" s="6">
        <v>2340</v>
      </c>
      <c r="J552" s="6">
        <v>100</v>
      </c>
      <c r="K552" s="4" t="str">
        <f t="shared" si="30"/>
        <v>1  和書</v>
      </c>
      <c r="L552" s="7"/>
    </row>
    <row r="553" spans="1:12" ht="24" x14ac:dyDescent="0.15">
      <c r="A553" s="36">
        <v>552</v>
      </c>
      <c r="B553" s="3" t="s">
        <v>27</v>
      </c>
      <c r="C553" s="4" t="str">
        <f>"0000545891"</f>
        <v>0000545891</v>
      </c>
      <c r="D553" s="5" t="str">
        <f>"交換と所有 / 鷲田清一 [ほか] 著.-- 岩波書店; 1990.12.-- (現代哲学の冒険 / 市川浩 [ほか] 編 ; 10)."</f>
        <v>交換と所有 / 鷲田清一 [ほか] 著.-- 岩波書店; 1990.12.-- (現代哲学の冒険 / 市川浩 [ほか] 編 ; 10).</v>
      </c>
      <c r="E553" s="5" t="str">
        <f>""</f>
        <v/>
      </c>
      <c r="F553" s="26"/>
      <c r="G553" s="27" t="str">
        <f>"108/ｲﾁ/10"</f>
        <v>108/ｲﾁ/10</v>
      </c>
      <c r="H553" s="4" t="str">
        <f>"1995/03/27"</f>
        <v>1995/03/27</v>
      </c>
      <c r="I553" s="6">
        <v>2700</v>
      </c>
      <c r="J553" s="6">
        <v>100</v>
      </c>
      <c r="K553" s="4" t="str">
        <f t="shared" si="30"/>
        <v>1  和書</v>
      </c>
      <c r="L553" s="7"/>
    </row>
    <row r="554" spans="1:12" ht="24" x14ac:dyDescent="0.15">
      <c r="A554" s="36">
        <v>553</v>
      </c>
      <c r="B554" s="3" t="s">
        <v>27</v>
      </c>
      <c r="C554" s="10" t="str">
        <f>"0002509709"</f>
        <v>0002509709</v>
      </c>
      <c r="D554" s="11" t="str">
        <f>"こころとからだ / 唯物論研究協会編.-- 唯物論研究協会.-- (唯物論研究年誌 ; 第6号)."</f>
        <v>こころとからだ / 唯物論研究協会編.-- 唯物論研究協会.-- (唯物論研究年誌 ; 第6号).</v>
      </c>
      <c r="E554" s="11" t="str">
        <f>""</f>
        <v/>
      </c>
      <c r="F554" s="28" t="s">
        <v>8</v>
      </c>
      <c r="G554" s="29" t="str">
        <f>"111.6/ﾕｲ/6"</f>
        <v>111.6/ﾕｲ/6</v>
      </c>
      <c r="H554" s="10" t="str">
        <f>"2002/09/06"</f>
        <v>2002/09/06</v>
      </c>
      <c r="I554" s="12">
        <v>3452</v>
      </c>
      <c r="J554" s="12">
        <v>100</v>
      </c>
      <c r="K554" s="10" t="str">
        <f t="shared" si="30"/>
        <v>1  和書</v>
      </c>
      <c r="L554" s="13"/>
    </row>
    <row r="555" spans="1:12" ht="36" x14ac:dyDescent="0.15">
      <c r="A555" s="36">
        <v>554</v>
      </c>
      <c r="B555" s="3" t="s">
        <v>27</v>
      </c>
      <c r="C555" s="4" t="str">
        <f>"0000872362"</f>
        <v>0000872362</v>
      </c>
      <c r="D555" s="5" t="str">
        <f>"Chaos and society / edited by A. Albert ; : IOS Press, : Ohmsha, : PUQ.-- IOS Press.-- (Frontiers in artificial intelligence and applications ; v. 29)."</f>
        <v>Chaos and society / edited by A. Albert ; : IOS Press, : Ohmsha, : PUQ.-- IOS Press.-- (Frontiers in artificial intelligence and applications ; v. 29).</v>
      </c>
      <c r="E555" s="5" t="str">
        <f>": IOS Press"</f>
        <v>: IOS Press</v>
      </c>
      <c r="F555" s="26"/>
      <c r="G555" s="27" t="str">
        <f>"112/CH"</f>
        <v>112/CH</v>
      </c>
      <c r="H555" s="4" t="str">
        <f>"1995/09/27"</f>
        <v>1995/09/27</v>
      </c>
      <c r="I555" s="6">
        <v>12375</v>
      </c>
      <c r="J555" s="8">
        <v>500</v>
      </c>
      <c r="K555" s="4" t="str">
        <f>"2  洋書"</f>
        <v>2  洋書</v>
      </c>
      <c r="L555" s="7"/>
    </row>
    <row r="556" spans="1:12" ht="24" x14ac:dyDescent="0.15">
      <c r="A556" s="36">
        <v>555</v>
      </c>
      <c r="B556" s="3" t="s">
        <v>27</v>
      </c>
      <c r="C556" s="10" t="str">
        <f>"0002643366"</f>
        <v>0002643366</v>
      </c>
      <c r="D556" s="11" t="str">
        <f>"身体論集成 / 市川浩著 ; 中村雄二郎編.-- 岩波書店; 2001.10.-- (岩波現代文庫 ; 学術 ; 64)."</f>
        <v>身体論集成 / 市川浩著 ; 中村雄二郎編.-- 岩波書店; 2001.10.-- (岩波現代文庫 ; 学術 ; 64).</v>
      </c>
      <c r="E556" s="11" t="str">
        <f>""</f>
        <v/>
      </c>
      <c r="F556" s="28" t="s">
        <v>8</v>
      </c>
      <c r="G556" s="29" t="str">
        <f>"114/ｲﾁ"</f>
        <v>114/ｲﾁ</v>
      </c>
      <c r="H556" s="10" t="str">
        <f>"2003/10/30"</f>
        <v>2003/10/30</v>
      </c>
      <c r="I556" s="12">
        <v>1134</v>
      </c>
      <c r="J556" s="12">
        <v>100</v>
      </c>
      <c r="K556" s="10" t="str">
        <f>"1  和書"</f>
        <v>1  和書</v>
      </c>
      <c r="L556" s="13"/>
    </row>
    <row r="557" spans="1:12" ht="24" x14ac:dyDescent="0.15">
      <c r="A557" s="36">
        <v>556</v>
      </c>
      <c r="B557" s="3" t="s">
        <v>27</v>
      </c>
      <c r="C557" s="4" t="str">
        <f>"0001288513"</f>
        <v>0001288513</v>
      </c>
      <c r="D557" s="5" t="str">
        <f>"Impossible minds : my neurons, my consciousness / Igor Aleksander ; : pbk.-- Imperial College Press; c1996."</f>
        <v>Impossible minds : my neurons, my consciousness / Igor Aleksander ; : pbk.-- Imperial College Press; c1996.</v>
      </c>
      <c r="E557" s="5" t="str">
        <f>""</f>
        <v/>
      </c>
      <c r="F557" s="26"/>
      <c r="G557" s="27" t="str">
        <f>"114/AL"</f>
        <v>114/AL</v>
      </c>
      <c r="H557" s="4" t="str">
        <f>"1997/04/11"</f>
        <v>1997/04/11</v>
      </c>
      <c r="I557" s="6">
        <v>3969</v>
      </c>
      <c r="J557" s="6">
        <v>100</v>
      </c>
      <c r="K557" s="4" t="str">
        <f>"2  洋書"</f>
        <v>2  洋書</v>
      </c>
      <c r="L557" s="7"/>
    </row>
    <row r="558" spans="1:12" ht="24" x14ac:dyDescent="0.15">
      <c r="A558" s="36">
        <v>557</v>
      </c>
      <c r="B558" s="3" t="s">
        <v>27</v>
      </c>
      <c r="C558" s="10" t="str">
        <f>"0001938791"</f>
        <v>0001938791</v>
      </c>
      <c r="D558" s="11" t="str">
        <f>"The body in pain : the making and unmaking of the world / Elaine Scarry ; : pbk.-- Oxford University Press; 1987, c1985.-- (Oxford paperbacks)."</f>
        <v>The body in pain : the making and unmaking of the world / Elaine Scarry ; : pbk.-- Oxford University Press; 1987, c1985.-- (Oxford paperbacks).</v>
      </c>
      <c r="E558" s="11" t="str">
        <f>": pbk"</f>
        <v>: pbk</v>
      </c>
      <c r="F558" s="28" t="s">
        <v>8</v>
      </c>
      <c r="G558" s="29" t="str">
        <f>"114.2/SC"</f>
        <v>114.2/SC</v>
      </c>
      <c r="H558" s="10" t="str">
        <f>"2003/06/10"</f>
        <v>2003/06/10</v>
      </c>
      <c r="I558" s="12">
        <v>2800</v>
      </c>
      <c r="J558" s="12">
        <v>100</v>
      </c>
      <c r="K558" s="10" t="str">
        <f>"2  洋書"</f>
        <v>2  洋書</v>
      </c>
      <c r="L558" s="13"/>
    </row>
    <row r="559" spans="1:12" x14ac:dyDescent="0.15">
      <c r="A559" s="36">
        <v>558</v>
      </c>
      <c r="B559" s="3" t="s">
        <v>27</v>
      </c>
      <c r="C559" s="10" t="str">
        <f>"0002155678"</f>
        <v>0002155678</v>
      </c>
      <c r="D559" s="11" t="str">
        <f>"身体/生命 / 市野川容孝著.-- 岩波書店; 2000.1.-- (思考のフロンティア)."</f>
        <v>身体/生命 / 市野川容孝著.-- 岩波書店; 2000.1.-- (思考のフロンティア).</v>
      </c>
      <c r="E559" s="11" t="str">
        <f>""</f>
        <v/>
      </c>
      <c r="F559" s="28" t="s">
        <v>8</v>
      </c>
      <c r="G559" s="29" t="str">
        <f>"114.2/ｲﾁ"</f>
        <v>114.2/ｲﾁ</v>
      </c>
      <c r="H559" s="10" t="str">
        <f>"2000/05/31"</f>
        <v>2000/05/31</v>
      </c>
      <c r="I559" s="12">
        <v>1260</v>
      </c>
      <c r="J559" s="12">
        <v>100</v>
      </c>
      <c r="K559" s="10" t="str">
        <f>"1  和書"</f>
        <v>1  和書</v>
      </c>
      <c r="L559" s="13"/>
    </row>
    <row r="560" spans="1:12" x14ac:dyDescent="0.15">
      <c r="A560" s="36">
        <v>559</v>
      </c>
      <c r="B560" s="3" t="s">
        <v>27</v>
      </c>
      <c r="C560" s="4" t="str">
        <f>"0001284331"</f>
        <v>0001284331</v>
      </c>
      <c r="D560" s="5" t="str">
        <f>"日本人の身体観の歴史 / 養老孟司著.-- 法藏館; 1996.8."</f>
        <v>日本人の身体観の歴史 / 養老孟司著.-- 法藏館; 1996.8.</v>
      </c>
      <c r="E560" s="5" t="str">
        <f>""</f>
        <v/>
      </c>
      <c r="F560" s="26"/>
      <c r="G560" s="27" t="str">
        <f>"114.2/ﾖｳ"</f>
        <v>114.2/ﾖｳ</v>
      </c>
      <c r="H560" s="4" t="str">
        <f>"1997/01/25"</f>
        <v>1997/01/25</v>
      </c>
      <c r="I560" s="6">
        <v>1980</v>
      </c>
      <c r="J560" s="6">
        <v>100</v>
      </c>
      <c r="K560" s="4" t="str">
        <f>"1  和書"</f>
        <v>1  和書</v>
      </c>
      <c r="L560" s="7"/>
    </row>
    <row r="561" spans="1:12" ht="24" x14ac:dyDescent="0.15">
      <c r="A561" s="36">
        <v>560</v>
      </c>
      <c r="B561" s="3" t="s">
        <v>27</v>
      </c>
      <c r="C561" s="4" t="str">
        <f>"0001296969"</f>
        <v>0001296969</v>
      </c>
      <c r="D561" s="5" t="str">
        <f>"Exploring logical dynamics / Johan van Benthem ; : hc, : pbk.-- CSLI Publications; c1996.-- (Studies in logic, language and information)."</f>
        <v>Exploring logical dynamics / Johan van Benthem ; : hc, : pbk.-- CSLI Publications; c1996.-- (Studies in logic, language and information).</v>
      </c>
      <c r="E561" s="5" t="str">
        <f>": pbk"</f>
        <v>: pbk</v>
      </c>
      <c r="F561" s="26"/>
      <c r="G561" s="27" t="str">
        <f>"116/BE"</f>
        <v>116/BE</v>
      </c>
      <c r="H561" s="4" t="str">
        <f>"1997/08/27"</f>
        <v>1997/08/27</v>
      </c>
      <c r="I561" s="6">
        <v>3772</v>
      </c>
      <c r="J561" s="6">
        <v>100</v>
      </c>
      <c r="K561" s="4" t="str">
        <f>"2  洋書"</f>
        <v>2  洋書</v>
      </c>
      <c r="L561" s="7"/>
    </row>
    <row r="562" spans="1:12" x14ac:dyDescent="0.15">
      <c r="A562" s="36">
        <v>561</v>
      </c>
      <c r="B562" s="3" t="s">
        <v>27</v>
      </c>
      <c r="C562" s="10" t="str">
        <f>"0000551502"</f>
        <v>0000551502</v>
      </c>
      <c r="D562" s="11" t="str">
        <f>"記号論理学 / 清水義夫著.-- 東京大学出版会; 1984.11."</f>
        <v>記号論理学 / 清水義夫著.-- 東京大学出版会; 1984.11.</v>
      </c>
      <c r="E562" s="11" t="str">
        <f>""</f>
        <v/>
      </c>
      <c r="F562" s="28" t="s">
        <v>8</v>
      </c>
      <c r="G562" s="29" t="str">
        <f>"116.3/ｼﾐ"</f>
        <v>116.3/ｼﾐ</v>
      </c>
      <c r="H562" s="10" t="str">
        <f>"1995/03/31"</f>
        <v>1995/03/31</v>
      </c>
      <c r="I562" s="12">
        <v>1854</v>
      </c>
      <c r="J562" s="12">
        <v>100</v>
      </c>
      <c r="K562" s="10" t="str">
        <f>"1  和書"</f>
        <v>1  和書</v>
      </c>
      <c r="L562" s="13"/>
    </row>
    <row r="563" spans="1:12" ht="24" x14ac:dyDescent="0.15">
      <c r="A563" s="36">
        <v>562</v>
      </c>
      <c r="B563" s="3" t="s">
        <v>28</v>
      </c>
      <c r="C563" s="4" t="str">
        <f>"0002474960"</f>
        <v>0002474960</v>
      </c>
      <c r="D563" s="5" t="str">
        <f>"中国思想文化事典 / 溝口雄三, 丸山松幸, 池田知久編.-- 東京大学出版会; 2001.7."</f>
        <v>中国思想文化事典 / 溝口雄三, 丸山松幸, 池田知久編.-- 東京大学出版会; 2001.7.</v>
      </c>
      <c r="E563" s="5" t="str">
        <f>""</f>
        <v/>
      </c>
      <c r="F563" s="26"/>
      <c r="G563" s="27" t="str">
        <f>"R122.03/ﾐｿﾞ"</f>
        <v>R122.03/ﾐｿﾞ</v>
      </c>
      <c r="H563" s="4" t="str">
        <f>"2002/01/22"</f>
        <v>2002/01/22</v>
      </c>
      <c r="I563" s="6">
        <v>6426</v>
      </c>
      <c r="J563" s="6">
        <v>100</v>
      </c>
      <c r="K563" s="4" t="str">
        <f>"1  和書"</f>
        <v>1  和書</v>
      </c>
      <c r="L563" s="7"/>
    </row>
    <row r="564" spans="1:12" x14ac:dyDescent="0.15">
      <c r="A564" s="36">
        <v>563</v>
      </c>
      <c r="B564" s="3" t="s">
        <v>29</v>
      </c>
      <c r="C564" s="4" t="str">
        <f>"0003032862"</f>
        <v>0003032862</v>
      </c>
      <c r="D564" s="5" t="str">
        <f>"図説・標準哲学史 / 貫成人著.-- 新書館; 2008.2."</f>
        <v>図説・標準哲学史 / 貫成人著.-- 新書館; 2008.2.</v>
      </c>
      <c r="E564" s="5" t="str">
        <f>""</f>
        <v/>
      </c>
      <c r="F564" s="26"/>
      <c r="G564" s="27" t="str">
        <f>"130.2/ﾇｷ"</f>
        <v>130.2/ﾇｷ</v>
      </c>
      <c r="H564" s="4" t="str">
        <f>"2009/03/05"</f>
        <v>2009/03/05</v>
      </c>
      <c r="I564" s="6">
        <v>1241</v>
      </c>
      <c r="J564" s="6">
        <v>100</v>
      </c>
      <c r="K564" s="4" t="str">
        <f>"1  和書"</f>
        <v>1  和書</v>
      </c>
      <c r="L564" s="7"/>
    </row>
    <row r="565" spans="1:12" ht="24" x14ac:dyDescent="0.15">
      <c r="A565" s="36">
        <v>564</v>
      </c>
      <c r="B565" s="3" t="s">
        <v>29</v>
      </c>
      <c r="C565" s="4" t="str">
        <f>"0003139370"</f>
        <v>0003139370</v>
      </c>
      <c r="D565" s="5" t="str">
        <f>"William James : his life and thought / Gerald E. Myers.-- Yale University Press; c1986."</f>
        <v>William James : his life and thought / Gerald E. Myers.-- Yale University Press; c1986.</v>
      </c>
      <c r="E565" s="5" t="str">
        <f>""</f>
        <v/>
      </c>
      <c r="F565" s="26"/>
      <c r="G565" s="27" t="str">
        <f>"133.9/JA"</f>
        <v>133.9/JA</v>
      </c>
      <c r="H565" s="4" t="str">
        <f>"2012/05/30"</f>
        <v>2012/05/30</v>
      </c>
      <c r="I565" s="6">
        <v>2290</v>
      </c>
      <c r="J565" s="6">
        <v>100</v>
      </c>
      <c r="K565" s="4" t="str">
        <f>"2  洋書"</f>
        <v>2  洋書</v>
      </c>
      <c r="L565" s="7"/>
    </row>
    <row r="566" spans="1:12" ht="24" x14ac:dyDescent="0.15">
      <c r="A566" s="36">
        <v>565</v>
      </c>
      <c r="B566" s="3" t="s">
        <v>29</v>
      </c>
      <c r="C566" s="10" t="str">
        <f>"0000538916"</f>
        <v>0000538916</v>
      </c>
      <c r="D566" s="11" t="str">
        <f>"心理学の哲学 / [ウィトゲンシュタイン著] ; 佐藤徹郎訳 ; 1, 2.-- 大修館書店; 1985.4-1988.12.-- (ウィトゲンシュタイン全集 ; 補巻1-2)."</f>
        <v>心理学の哲学 / [ウィトゲンシュタイン著] ; 佐藤徹郎訳 ; 1, 2.-- 大修館書店; 1985.4-1988.12.-- (ウィトゲンシュタイン全集 ; 補巻1-2).</v>
      </c>
      <c r="E566" s="11" t="str">
        <f>"2"</f>
        <v>2</v>
      </c>
      <c r="F566" s="28" t="s">
        <v>8</v>
      </c>
      <c r="G566" s="29" t="str">
        <f>"134.9/ｳﾞｲ/12"</f>
        <v>134.9/ｳﾞｲ/12</v>
      </c>
      <c r="H566" s="10" t="str">
        <f>"1995/01/29"</f>
        <v>1995/01/29</v>
      </c>
      <c r="I566" s="12">
        <v>2581</v>
      </c>
      <c r="J566" s="12">
        <v>100</v>
      </c>
      <c r="K566" s="10" t="str">
        <f>"1  和書"</f>
        <v>1  和書</v>
      </c>
      <c r="L566" s="13"/>
    </row>
    <row r="567" spans="1:12" ht="24" x14ac:dyDescent="0.15">
      <c r="A567" s="36">
        <v>566</v>
      </c>
      <c r="B567" s="3" t="s">
        <v>30</v>
      </c>
      <c r="C567" s="4" t="str">
        <f>"0001268485"</f>
        <v>0001268485</v>
      </c>
      <c r="D567" s="5" t="str">
        <f>"はじめての心理学 / 山内宏太朗編著 ; 阿山光利, 田久保眞理子, 横山剛著.-- 増補版.-- 北樹出版."</f>
        <v>はじめての心理学 / 山内宏太朗編著 ; 阿山光利, 田久保眞理子, 横山剛著.-- 増補版.-- 北樹出版.</v>
      </c>
      <c r="E567" s="5" t="str">
        <f>""</f>
        <v/>
      </c>
      <c r="F567" s="26"/>
      <c r="G567" s="27" t="str">
        <f>"140/ﾔﾏ"</f>
        <v>140/ﾔﾏ</v>
      </c>
      <c r="H567" s="4" t="str">
        <f>"1995/05/22"</f>
        <v>1995/05/22</v>
      </c>
      <c r="I567" s="6">
        <v>2250</v>
      </c>
      <c r="J567" s="6">
        <v>100</v>
      </c>
      <c r="K567" s="4" t="str">
        <f>"1  和書"</f>
        <v>1  和書</v>
      </c>
      <c r="L567" s="7"/>
    </row>
    <row r="568" spans="1:12" ht="24" x14ac:dyDescent="0.15">
      <c r="A568" s="36">
        <v>567</v>
      </c>
      <c r="B568" s="3" t="s">
        <v>30</v>
      </c>
      <c r="C568" s="10" t="str">
        <f>"0000851817"</f>
        <v>0000851817</v>
      </c>
      <c r="D568" s="11" t="str">
        <f>"Comprehension of graphics / [edited by] Wolfgang Schnotz, Raymond W. Kulhavy.-- North-Holland; 1994.-- (Advances in psychology ; 108)."</f>
        <v>Comprehension of graphics / [edited by] Wolfgang Schnotz, Raymond W. Kulhavy.-- North-Holland; 1994.-- (Advances in psychology ; 108).</v>
      </c>
      <c r="E568" s="11" t="str">
        <f>""</f>
        <v/>
      </c>
      <c r="F568" s="28" t="s">
        <v>8</v>
      </c>
      <c r="G568" s="29" t="str">
        <f>"140.33/SC"</f>
        <v>140.33/SC</v>
      </c>
      <c r="H568" s="10" t="str">
        <f>"1995/06/15"</f>
        <v>1995/06/15</v>
      </c>
      <c r="I568" s="12">
        <v>21321</v>
      </c>
      <c r="J568" s="14">
        <v>1000</v>
      </c>
      <c r="K568" s="10" t="str">
        <f>"2  洋書"</f>
        <v>2  洋書</v>
      </c>
      <c r="L568" s="13"/>
    </row>
    <row r="569" spans="1:12" ht="24" x14ac:dyDescent="0.15">
      <c r="A569" s="36">
        <v>568</v>
      </c>
      <c r="B569" s="3" t="s">
        <v>30</v>
      </c>
      <c r="C569" s="10" t="str">
        <f>"0000573757"</f>
        <v>0000573757</v>
      </c>
      <c r="D569" s="11" t="str">
        <f>"一目でわかる表現の心理技法 : 文書・図表・イラスト / 海保博之著.-- 共立出版; 1992.3."</f>
        <v>一目でわかる表現の心理技法 : 文書・図表・イラスト / 海保博之著.-- 共立出版; 1992.3.</v>
      </c>
      <c r="E569" s="11" t="str">
        <f>""</f>
        <v/>
      </c>
      <c r="F569" s="28" t="s">
        <v>8</v>
      </c>
      <c r="G569" s="29" t="str">
        <f>"140.4/ｶｲ"</f>
        <v>140.4/ｶｲ</v>
      </c>
      <c r="H569" s="10" t="str">
        <f>"1995/03/31"</f>
        <v>1995/03/31</v>
      </c>
      <c r="I569" s="12">
        <v>1674</v>
      </c>
      <c r="J569" s="12">
        <v>100</v>
      </c>
      <c r="K569" s="10" t="str">
        <f>"1  和書"</f>
        <v>1  和書</v>
      </c>
      <c r="L569" s="13"/>
    </row>
    <row r="570" spans="1:12" ht="24" x14ac:dyDescent="0.15">
      <c r="A570" s="36">
        <v>569</v>
      </c>
      <c r="B570" s="3" t="s">
        <v>30</v>
      </c>
      <c r="C570" s="4" t="str">
        <f>"0002774404"</f>
        <v>0002774404</v>
      </c>
      <c r="D570" s="5" t="str">
        <f>"聴覚・触覚・前庭感覚 / 内川惠二総編集・編集.-- 朝倉書店; 2008.1.-- (講座「感覚・知覚の科学」 / 内川惠二総編集 ; 3)."</f>
        <v>聴覚・触覚・前庭感覚 / 内川惠二総編集・編集.-- 朝倉書店; 2008.1.-- (講座「感覚・知覚の科学」 / 内川惠二総編集 ; 3).</v>
      </c>
      <c r="E570" s="5" t="str">
        <f>""</f>
        <v/>
      </c>
      <c r="F570" s="26"/>
      <c r="G570" s="27" t="str">
        <f>"141.2/ｺｳ/3"</f>
        <v>141.2/ｺｳ/3</v>
      </c>
      <c r="H570" s="4" t="str">
        <f>"2008/03/05"</f>
        <v>2008/03/05</v>
      </c>
      <c r="I570" s="6">
        <v>4536</v>
      </c>
      <c r="J570" s="6">
        <v>100</v>
      </c>
      <c r="K570" s="4" t="str">
        <f>"1  和書"</f>
        <v>1  和書</v>
      </c>
      <c r="L570" s="7"/>
    </row>
    <row r="571" spans="1:12" ht="24" x14ac:dyDescent="0.15">
      <c r="A571" s="36">
        <v>570</v>
      </c>
      <c r="B571" s="3" t="s">
        <v>30</v>
      </c>
      <c r="C571" s="10" t="str">
        <f>"0001278019"</f>
        <v>0001278019</v>
      </c>
      <c r="D571" s="11" t="str">
        <f>"新編感覚・知覚心理学ハンドブック / 大山正, 今井省吾, 和気典二編 ; [pt. 1], pt. 2.-- 誠信書房; 1994.1-2007.9."</f>
        <v>新編感覚・知覚心理学ハンドブック / 大山正, 今井省吾, 和気典二編 ; [pt. 1], pt. 2.-- 誠信書房; 1994.1-2007.9.</v>
      </c>
      <c r="E571" s="11" t="str">
        <f>"[pt. 1]"</f>
        <v>[pt. 1]</v>
      </c>
      <c r="F571" s="28" t="s">
        <v>8</v>
      </c>
      <c r="G571" s="29" t="str">
        <f>"R141.2/ｼﾝ"</f>
        <v>R141.2/ｼﾝ</v>
      </c>
      <c r="H571" s="10" t="str">
        <f>"1996/10/17"</f>
        <v>1996/10/17</v>
      </c>
      <c r="I571" s="12">
        <v>46350</v>
      </c>
      <c r="J571" s="14">
        <v>1000</v>
      </c>
      <c r="K571" s="10" t="str">
        <f>"1  和書"</f>
        <v>1  和書</v>
      </c>
      <c r="L571" s="13"/>
    </row>
    <row r="572" spans="1:12" ht="24" x14ac:dyDescent="0.15">
      <c r="A572" s="36">
        <v>571</v>
      </c>
      <c r="B572" s="3" t="s">
        <v>30</v>
      </c>
      <c r="C572" s="4" t="str">
        <f>"0001291650"</f>
        <v>0001291650</v>
      </c>
      <c r="D572" s="5" t="str">
        <f>"Theories of visual perception / Ian E. Gordon ; : pbk.-- 2nd ed.-- J. Wiley; c1997."</f>
        <v>Theories of visual perception / Ian E. Gordon ; : pbk.-- 2nd ed.-- J. Wiley; c1997.</v>
      </c>
      <c r="E572" s="5" t="str">
        <f>""</f>
        <v/>
      </c>
      <c r="F572" s="26"/>
      <c r="G572" s="27" t="str">
        <f>"141.2/GO"</f>
        <v>141.2/GO</v>
      </c>
      <c r="H572" s="4" t="str">
        <f>"1997/05/21"</f>
        <v>1997/05/21</v>
      </c>
      <c r="I572" s="6">
        <v>10773</v>
      </c>
      <c r="J572" s="8">
        <v>500</v>
      </c>
      <c r="K572" s="4" t="str">
        <f t="shared" ref="K572:K578" si="31">"2  洋書"</f>
        <v>2  洋書</v>
      </c>
      <c r="L572" s="7"/>
    </row>
    <row r="573" spans="1:12" ht="24" x14ac:dyDescent="0.15">
      <c r="A573" s="36">
        <v>572</v>
      </c>
      <c r="B573" s="3" t="s">
        <v>30</v>
      </c>
      <c r="C573" s="4" t="str">
        <f>"0001270662"</f>
        <v>0001270662</v>
      </c>
      <c r="D573" s="5" t="str">
        <f>"Perception / edited by Wolfgang Prinz and Bruce Bridgeman.-- Academic Press; c1995.-- (Handbook of perception and action ; v. 1)."</f>
        <v>Perception / edited by Wolfgang Prinz and Bruce Bridgeman.-- Academic Press; c1995.-- (Handbook of perception and action ; v. 1).</v>
      </c>
      <c r="E573" s="5" t="str">
        <f>""</f>
        <v/>
      </c>
      <c r="F573" s="26"/>
      <c r="G573" s="27" t="str">
        <f>"141.2/HA/1"</f>
        <v>141.2/HA/1</v>
      </c>
      <c r="H573" s="4" t="str">
        <f>"1996/06/25"</f>
        <v>1996/06/25</v>
      </c>
      <c r="I573" s="6">
        <v>12369</v>
      </c>
      <c r="J573" s="8">
        <v>500</v>
      </c>
      <c r="K573" s="4" t="str">
        <f t="shared" si="31"/>
        <v>2  洋書</v>
      </c>
      <c r="L573" s="7"/>
    </row>
    <row r="574" spans="1:12" ht="24" x14ac:dyDescent="0.15">
      <c r="A574" s="36">
        <v>573</v>
      </c>
      <c r="B574" s="3" t="s">
        <v>30</v>
      </c>
      <c r="C574" s="4" t="str">
        <f>"0001270679"</f>
        <v>0001270679</v>
      </c>
      <c r="D574" s="5" t="str">
        <f>"Motor skills / edited by Herbert Heuer and Steven W. Keele.-- Academic Press; c1996.-- (Handbook of perception and action ; v. 2)."</f>
        <v>Motor skills / edited by Herbert Heuer and Steven W. Keele.-- Academic Press; c1996.-- (Handbook of perception and action ; v. 2).</v>
      </c>
      <c r="E574" s="5" t="str">
        <f>""</f>
        <v/>
      </c>
      <c r="F574" s="26"/>
      <c r="G574" s="27" t="str">
        <f>"141.2/HA/2"</f>
        <v>141.2/HA/2</v>
      </c>
      <c r="H574" s="4" t="str">
        <f>"1996/06/25"</f>
        <v>1996/06/25</v>
      </c>
      <c r="I574" s="6">
        <v>12369</v>
      </c>
      <c r="J574" s="8">
        <v>500</v>
      </c>
      <c r="K574" s="4" t="str">
        <f t="shared" si="31"/>
        <v>2  洋書</v>
      </c>
      <c r="L574" s="7"/>
    </row>
    <row r="575" spans="1:12" ht="24" x14ac:dyDescent="0.15">
      <c r="A575" s="36">
        <v>574</v>
      </c>
      <c r="B575" s="3" t="s">
        <v>30</v>
      </c>
      <c r="C575" s="4" t="str">
        <f>"0001270686"</f>
        <v>0001270686</v>
      </c>
      <c r="D575" s="5" t="str">
        <f>"Attention / edited by O. Neumann and A.F. Sanders.-- Academic Press; c1996.-- (Handbook of perception and action ; v. 3)."</f>
        <v>Attention / edited by O. Neumann and A.F. Sanders.-- Academic Press; c1996.-- (Handbook of perception and action ; v. 3).</v>
      </c>
      <c r="E575" s="5" t="str">
        <f>""</f>
        <v/>
      </c>
      <c r="F575" s="26"/>
      <c r="G575" s="27" t="str">
        <f>"141.2/HA/3"</f>
        <v>141.2/HA/3</v>
      </c>
      <c r="H575" s="4" t="str">
        <f>"1996/06/25"</f>
        <v>1996/06/25</v>
      </c>
      <c r="I575" s="6">
        <v>12369</v>
      </c>
      <c r="J575" s="8">
        <v>500</v>
      </c>
      <c r="K575" s="4" t="str">
        <f t="shared" si="31"/>
        <v>2  洋書</v>
      </c>
      <c r="L575" s="7"/>
    </row>
    <row r="576" spans="1:12" ht="24" x14ac:dyDescent="0.15">
      <c r="A576" s="36">
        <v>575</v>
      </c>
      <c r="B576" s="3" t="s">
        <v>30</v>
      </c>
      <c r="C576" s="4" t="str">
        <f>"0001293883"</f>
        <v>0001293883</v>
      </c>
      <c r="D576" s="5" t="str">
        <f>"Perception as Bayesian inference / edited by David C. Knill, Whitman Richards ; : pbk.-- Cambridge University Press; 1996."</f>
        <v>Perception as Bayesian inference / edited by David C. Knill, Whitman Richards ; : pbk.-- Cambridge University Press; 1996.</v>
      </c>
      <c r="E576" s="5" t="str">
        <f>""</f>
        <v/>
      </c>
      <c r="F576" s="26"/>
      <c r="G576" s="27" t="str">
        <f>"141.2/PE"</f>
        <v>141.2/PE</v>
      </c>
      <c r="H576" s="4" t="str">
        <f>"1997/06/27"</f>
        <v>1997/06/27</v>
      </c>
      <c r="I576" s="6">
        <v>12625</v>
      </c>
      <c r="J576" s="8">
        <v>500</v>
      </c>
      <c r="K576" s="4" t="str">
        <f t="shared" si="31"/>
        <v>2  洋書</v>
      </c>
      <c r="L576" s="7"/>
    </row>
    <row r="577" spans="1:12" ht="24" x14ac:dyDescent="0.15">
      <c r="A577" s="36">
        <v>576</v>
      </c>
      <c r="B577" s="3" t="s">
        <v>30</v>
      </c>
      <c r="C577" s="4" t="str">
        <f>"0001278439"</f>
        <v>0001278439</v>
      </c>
      <c r="D577" s="5" t="str">
        <f>"視覚の冒険 : イリュージョンから認知科学へ / 下條信輔著.-- 産業図書; 1995.4."</f>
        <v>視覚の冒険 : イリュージョンから認知科学へ / 下條信輔著.-- 産業図書; 1995.4.</v>
      </c>
      <c r="E577" s="5" t="str">
        <f>""</f>
        <v/>
      </c>
      <c r="F577" s="26"/>
      <c r="G577" s="27" t="str">
        <f>"141.21/ｼﾓ"</f>
        <v>141.21/ｼﾓ</v>
      </c>
      <c r="H577" s="4" t="str">
        <f>"1996/10/28"</f>
        <v>1996/10/28</v>
      </c>
      <c r="I577" s="6">
        <v>2132</v>
      </c>
      <c r="J577" s="6">
        <v>100</v>
      </c>
      <c r="K577" s="4" t="str">
        <f>"1  和書"</f>
        <v>1  和書</v>
      </c>
      <c r="L577" s="7"/>
    </row>
    <row r="578" spans="1:12" ht="24" x14ac:dyDescent="0.15">
      <c r="A578" s="36">
        <v>577</v>
      </c>
      <c r="B578" s="3" t="s">
        <v>30</v>
      </c>
      <c r="C578" s="4" t="str">
        <f>"0001266092"</f>
        <v>0001266092</v>
      </c>
      <c r="D578" s="5" t="str">
        <f>"Mental reality / Galen Strawson.-- MIT Press; 1994.-- (Representation and mind / Hilary Putnam and Ned Block, editors)."</f>
        <v>Mental reality / Galen Strawson.-- MIT Press; 1994.-- (Representation and mind / Hilary Putnam and Ned Block, editors).</v>
      </c>
      <c r="E578" s="5" t="str">
        <f>""</f>
        <v/>
      </c>
      <c r="F578" s="26"/>
      <c r="G578" s="27" t="str">
        <f>"141.27/ST"</f>
        <v>141.27/ST</v>
      </c>
      <c r="H578" s="4" t="str">
        <f>"1996/03/14"</f>
        <v>1996/03/14</v>
      </c>
      <c r="I578" s="6">
        <v>3016</v>
      </c>
      <c r="J578" s="6">
        <v>100</v>
      </c>
      <c r="K578" s="4" t="str">
        <f t="shared" si="31"/>
        <v>2  洋書</v>
      </c>
      <c r="L578" s="7"/>
    </row>
    <row r="579" spans="1:12" ht="24" x14ac:dyDescent="0.15">
      <c r="A579" s="36">
        <v>578</v>
      </c>
      <c r="B579" s="3" t="s">
        <v>30</v>
      </c>
      <c r="C579" s="4" t="str">
        <f>"0001283501"</f>
        <v>0001283501</v>
      </c>
      <c r="D579" s="5" t="str">
        <f>"Visual attention and cognition / edited by W.H. Zangemeister, H.S. Stiehl, C. Freksa.-- Elsevier; 1996.-- (Advances in psychology ; 116)."</f>
        <v>Visual attention and cognition / edited by W.H. Zangemeister, H.S. Stiehl, C. Freksa.-- Elsevier; 1996.-- (Advances in psychology ; 116).</v>
      </c>
      <c r="E579" s="5" t="str">
        <f>""</f>
        <v/>
      </c>
      <c r="F579" s="26"/>
      <c r="G579" s="27" t="str">
        <f>"141.4/VI"</f>
        <v>141.4/VI</v>
      </c>
      <c r="H579" s="4" t="str">
        <f>"1997/01/22"</f>
        <v>1997/01/22</v>
      </c>
      <c r="I579" s="6">
        <v>23860</v>
      </c>
      <c r="J579" s="8">
        <v>1000</v>
      </c>
      <c r="K579" s="4" t="str">
        <f>"2  洋書"</f>
        <v>2  洋書</v>
      </c>
      <c r="L579" s="7"/>
    </row>
    <row r="580" spans="1:12" ht="24" x14ac:dyDescent="0.15">
      <c r="A580" s="36">
        <v>579</v>
      </c>
      <c r="B580" s="3" t="s">
        <v>30</v>
      </c>
      <c r="C580" s="10" t="str">
        <f>"0001412000"</f>
        <v>0001412000</v>
      </c>
      <c r="D580" s="11" t="str">
        <f>"運動 / 川人光男 [ほか] 著.-- 岩波書店; 1994.12.-- (岩波講座認知科学 / 伊藤正男 [ほか] 編 ; 4)."</f>
        <v>運動 / 川人光男 [ほか] 著.-- 岩波書店; 1994.12.-- (岩波講座認知科学 / 伊藤正男 [ほか] 編 ; 4).</v>
      </c>
      <c r="E580" s="11" t="str">
        <f>""</f>
        <v/>
      </c>
      <c r="F580" s="28" t="s">
        <v>8</v>
      </c>
      <c r="G580" s="29" t="str">
        <f>"141.5/ｲﾜ/4"</f>
        <v>141.5/ｲﾜ/4</v>
      </c>
      <c r="H580" s="10" t="str">
        <f>"1997/03/31"</f>
        <v>1997/03/31</v>
      </c>
      <c r="I580" s="12">
        <v>2692</v>
      </c>
      <c r="J580" s="12">
        <v>100</v>
      </c>
      <c r="K580" s="10" t="str">
        <f t="shared" ref="K580:K643" si="32">"1  和書"</f>
        <v>1  和書</v>
      </c>
      <c r="L580" s="13"/>
    </row>
    <row r="581" spans="1:12" ht="24" x14ac:dyDescent="0.15">
      <c r="A581" s="36">
        <v>580</v>
      </c>
      <c r="B581" s="3" t="s">
        <v>30</v>
      </c>
      <c r="C581" s="10" t="str">
        <f>"0001428216"</f>
        <v>0001428216</v>
      </c>
      <c r="D581" s="11" t="str">
        <f>"記憶と学習 / 市川伸一 [ほか] 著.-- 岩波書店; 1994.4.-- (岩波講座認知科学 / 伊藤正男 [ほか] 編 ; 5)."</f>
        <v>記憶と学習 / 市川伸一 [ほか] 著.-- 岩波書店; 1994.4.-- (岩波講座認知科学 / 伊藤正男 [ほか] 編 ; 5).</v>
      </c>
      <c r="E581" s="11" t="str">
        <f>""</f>
        <v/>
      </c>
      <c r="F581" s="28" t="s">
        <v>8</v>
      </c>
      <c r="G581" s="29" t="str">
        <f>"141.5/ｲﾜ/5"</f>
        <v>141.5/ｲﾜ/5</v>
      </c>
      <c r="H581" s="10" t="str">
        <f>"1997/03/31"</f>
        <v>1997/03/31</v>
      </c>
      <c r="I581" s="12">
        <v>2772</v>
      </c>
      <c r="J581" s="12">
        <v>100</v>
      </c>
      <c r="K581" s="10" t="str">
        <f t="shared" si="32"/>
        <v>1  和書</v>
      </c>
      <c r="L581" s="13"/>
    </row>
    <row r="582" spans="1:12" ht="24" x14ac:dyDescent="0.15">
      <c r="A582" s="36">
        <v>581</v>
      </c>
      <c r="B582" s="3" t="s">
        <v>30</v>
      </c>
      <c r="C582" s="10" t="str">
        <f>"0000553858"</f>
        <v>0000553858</v>
      </c>
      <c r="D582" s="11" t="str">
        <f>"言語 / 橋田浩一 [ほか] 著.-- 岩波書店; 1995.3.-- (岩波講座認知科学 / 伊藤正男 [ほか] 編 ; 7)."</f>
        <v>言語 / 橋田浩一 [ほか] 著.-- 岩波書店; 1995.3.-- (岩波講座認知科学 / 伊藤正男 [ほか] 編 ; 7).</v>
      </c>
      <c r="E582" s="11" t="str">
        <f>""</f>
        <v/>
      </c>
      <c r="F582" s="28" t="s">
        <v>8</v>
      </c>
      <c r="G582" s="29" t="str">
        <f>"141.5/ｲﾜ/7"</f>
        <v>141.5/ｲﾜ/7</v>
      </c>
      <c r="H582" s="10" t="str">
        <f>"1995/04/04"</f>
        <v>1995/04/04</v>
      </c>
      <c r="I582" s="12">
        <v>3060</v>
      </c>
      <c r="J582" s="12">
        <v>100</v>
      </c>
      <c r="K582" s="10" t="str">
        <f t="shared" si="32"/>
        <v>1  和書</v>
      </c>
      <c r="L582" s="13"/>
    </row>
    <row r="583" spans="1:12" ht="24" x14ac:dyDescent="0.15">
      <c r="A583" s="36">
        <v>582</v>
      </c>
      <c r="B583" s="3" t="s">
        <v>30</v>
      </c>
      <c r="C583" s="10" t="str">
        <f>"0001428155"</f>
        <v>0001428155</v>
      </c>
      <c r="D583" s="11" t="str">
        <f>"思考 / 中島秀之, 高野陽太郎, 伊藤正男著.-- 岩波書店; 1994.9.-- (岩波講座認知科学 / 伊藤正男 [ほか] 編 ; 8)."</f>
        <v>思考 / 中島秀之, 高野陽太郎, 伊藤正男著.-- 岩波書店; 1994.9.-- (岩波講座認知科学 / 伊藤正男 [ほか] 編 ; 8).</v>
      </c>
      <c r="E583" s="11" t="str">
        <f>""</f>
        <v/>
      </c>
      <c r="F583" s="28" t="s">
        <v>8</v>
      </c>
      <c r="G583" s="29" t="str">
        <f>"141.5/ｲﾜ/8"</f>
        <v>141.5/ｲﾜ/8</v>
      </c>
      <c r="H583" s="10" t="str">
        <f>"1997/03/31"</f>
        <v>1997/03/31</v>
      </c>
      <c r="I583" s="12">
        <v>2692</v>
      </c>
      <c r="J583" s="12">
        <v>100</v>
      </c>
      <c r="K583" s="10" t="str">
        <f t="shared" si="32"/>
        <v>1  和書</v>
      </c>
      <c r="L583" s="13"/>
    </row>
    <row r="584" spans="1:12" ht="24" x14ac:dyDescent="0.15">
      <c r="A584" s="36">
        <v>583</v>
      </c>
      <c r="B584" s="3" t="s">
        <v>30</v>
      </c>
      <c r="C584" s="10" t="str">
        <f>"0000585255"</f>
        <v>0000585255</v>
      </c>
      <c r="D584" s="11" t="str">
        <f>"プロトコル分析入門 : 発話データから何を読むか / 海保博之, 原田悦子編.-- 新曜社; 1993.11."</f>
        <v>プロトコル分析入門 : 発話データから何を読むか / 海保博之, 原田悦子編.-- 新曜社; 1993.11.</v>
      </c>
      <c r="E584" s="11" t="str">
        <f>""</f>
        <v/>
      </c>
      <c r="F584" s="28" t="s">
        <v>8</v>
      </c>
      <c r="G584" s="29" t="str">
        <f>"141.5/ｶｲ"</f>
        <v>141.5/ｶｲ</v>
      </c>
      <c r="H584" s="10" t="str">
        <f>"1995/03/31"</f>
        <v>1995/03/31</v>
      </c>
      <c r="I584" s="12">
        <v>2093</v>
      </c>
      <c r="J584" s="12">
        <v>100</v>
      </c>
      <c r="K584" s="10" t="str">
        <f t="shared" si="32"/>
        <v>1  和書</v>
      </c>
      <c r="L584" s="13"/>
    </row>
    <row r="585" spans="1:12" ht="24" x14ac:dyDescent="0.15">
      <c r="A585" s="36">
        <v>584</v>
      </c>
      <c r="B585" s="3" t="s">
        <v>30</v>
      </c>
      <c r="C585" s="4" t="str">
        <f>"0001285888"</f>
        <v>0001285888</v>
      </c>
      <c r="D585" s="5" t="str">
        <f>"認知革命 : 知の科学の誕生と展開 / ハワード・ガードナー著 ; 佐伯胖, 海保博之監訳 ; [無藤隆ほか訳].-- 産業図書; 1987.8."</f>
        <v>認知革命 : 知の科学の誕生と展開 / ハワード・ガードナー著 ; 佐伯胖, 海保博之監訳 ; [無藤隆ほか訳].-- 産業図書; 1987.8.</v>
      </c>
      <c r="E585" s="5" t="str">
        <f>""</f>
        <v/>
      </c>
      <c r="F585" s="26"/>
      <c r="G585" s="27" t="str">
        <f>"141.5/ｶﾞﾄﾞ"</f>
        <v>141.5/ｶﾞﾄﾞ</v>
      </c>
      <c r="H585" s="4" t="str">
        <f>"1997/03/04"</f>
        <v>1997/03/04</v>
      </c>
      <c r="I585" s="6">
        <v>3708</v>
      </c>
      <c r="J585" s="6">
        <v>100</v>
      </c>
      <c r="K585" s="4" t="str">
        <f t="shared" si="32"/>
        <v>1  和書</v>
      </c>
      <c r="L585" s="7"/>
    </row>
    <row r="586" spans="1:12" ht="24" x14ac:dyDescent="0.15">
      <c r="A586" s="36">
        <v>585</v>
      </c>
      <c r="B586" s="3" t="s">
        <v>30</v>
      </c>
      <c r="C586" s="4" t="str">
        <f>"0000875196"</f>
        <v>0000875196</v>
      </c>
      <c r="D586" s="5" t="str">
        <f>"アフォーダンス : 新しい認知の理論 / 佐々木正人著.-- 岩波書店; 1994.5.-- (岩波科学ライブラリー ; 12)."</f>
        <v>アフォーダンス : 新しい認知の理論 / 佐々木正人著.-- 岩波書店; 1994.5.-- (岩波科学ライブラリー ; 12).</v>
      </c>
      <c r="E586" s="5" t="str">
        <f>""</f>
        <v/>
      </c>
      <c r="F586" s="26"/>
      <c r="G586" s="27" t="str">
        <f>"141.5/ｻｻ"</f>
        <v>141.5/ｻｻ</v>
      </c>
      <c r="H586" s="4" t="str">
        <f>"1995/10/11"</f>
        <v>1995/10/11</v>
      </c>
      <c r="I586" s="6">
        <v>900</v>
      </c>
      <c r="J586" s="6">
        <v>100</v>
      </c>
      <c r="K586" s="4" t="str">
        <f t="shared" si="32"/>
        <v>1  和書</v>
      </c>
      <c r="L586" s="7"/>
    </row>
    <row r="587" spans="1:12" ht="24" x14ac:dyDescent="0.15">
      <c r="A587" s="36">
        <v>586</v>
      </c>
      <c r="B587" s="3" t="s">
        <v>30</v>
      </c>
      <c r="C587" s="10" t="str">
        <f>"0000460446"</f>
        <v>0000460446</v>
      </c>
      <c r="D587" s="11" t="str">
        <f>"想像の現象学 / 滝浦静雄著.-- 紀伊国屋書店; 1994.1.-- (精選復刻紀伊國屋新書)."</f>
        <v>想像の現象学 / 滝浦静雄著.-- 紀伊国屋書店; 1994.1.-- (精選復刻紀伊國屋新書).</v>
      </c>
      <c r="E587" s="11" t="str">
        <f>""</f>
        <v/>
      </c>
      <c r="F587" s="28" t="s">
        <v>8</v>
      </c>
      <c r="G587" s="29" t="str">
        <f>"141.5/ﾀｷ"</f>
        <v>141.5/ﾀｷ</v>
      </c>
      <c r="H587" s="10" t="str">
        <f>"1994/05/30"</f>
        <v>1994/05/30</v>
      </c>
      <c r="I587" s="12">
        <v>1620</v>
      </c>
      <c r="J587" s="12">
        <v>100</v>
      </c>
      <c r="K587" s="10" t="str">
        <f t="shared" si="32"/>
        <v>1  和書</v>
      </c>
      <c r="L587" s="13"/>
    </row>
    <row r="588" spans="1:12" ht="24" x14ac:dyDescent="0.15">
      <c r="A588" s="36">
        <v>587</v>
      </c>
      <c r="B588" s="3" t="s">
        <v>30</v>
      </c>
      <c r="C588" s="10" t="str">
        <f>"0000083812"</f>
        <v>0000083812</v>
      </c>
      <c r="D588" s="11" t="str">
        <f>"認知科学入門 : 「知」の構造へのアプローチ / 戸田正直 [ほか] 共著.-- サイエンス社; 1986.4.-- (Cognitive science &amp; information processing ; 1)."</f>
        <v>認知科学入門 : 「知」の構造へのアプローチ / 戸田正直 [ほか] 共著.-- サイエンス社; 1986.4.-- (Cognitive science &amp; information processing ; 1).</v>
      </c>
      <c r="E588" s="11" t="str">
        <f>""</f>
        <v/>
      </c>
      <c r="F588" s="28" t="s">
        <v>8</v>
      </c>
      <c r="G588" s="29" t="str">
        <f>"141.5/ﾄﾀﾞ"</f>
        <v>141.5/ﾄﾀﾞ</v>
      </c>
      <c r="H588" s="10" t="str">
        <f>"1994/03/31"</f>
        <v>1994/03/31</v>
      </c>
      <c r="I588" s="12">
        <v>2340</v>
      </c>
      <c r="J588" s="12">
        <v>100</v>
      </c>
      <c r="K588" s="10" t="str">
        <f t="shared" si="32"/>
        <v>1  和書</v>
      </c>
      <c r="L588" s="13"/>
    </row>
    <row r="589" spans="1:12" ht="24" x14ac:dyDescent="0.15">
      <c r="A589" s="36">
        <v>588</v>
      </c>
      <c r="B589" s="3" t="s">
        <v>30</v>
      </c>
      <c r="C589" s="10" t="str">
        <f>"0001016581"</f>
        <v>0001016581</v>
      </c>
      <c r="D589" s="11" t="str">
        <f>"顔の認知と情報処理 / V.ブルース著 ; 吉川左紀子訳.-- サイエンス社; 1990.4.-- (Cognitive science &amp; information processing ; 9)."</f>
        <v>顔の認知と情報処理 / V.ブルース著 ; 吉川左紀子訳.-- サイエンス社; 1990.4.-- (Cognitive science &amp; information processing ; 9).</v>
      </c>
      <c r="E589" s="11" t="str">
        <f>""</f>
        <v/>
      </c>
      <c r="F589" s="28" t="s">
        <v>8</v>
      </c>
      <c r="G589" s="29" t="str">
        <f>"141.5/ﾌﾞﾙ"</f>
        <v>141.5/ﾌﾞﾙ</v>
      </c>
      <c r="H589" s="10" t="str">
        <f>"1996/03/29"</f>
        <v>1996/03/29</v>
      </c>
      <c r="I589" s="12">
        <v>1928</v>
      </c>
      <c r="J589" s="12">
        <v>100</v>
      </c>
      <c r="K589" s="10" t="str">
        <f t="shared" si="32"/>
        <v>1  和書</v>
      </c>
      <c r="L589" s="13"/>
    </row>
    <row r="590" spans="1:12" ht="36" x14ac:dyDescent="0.15">
      <c r="A590" s="36">
        <v>589</v>
      </c>
      <c r="B590" s="3" t="s">
        <v>30</v>
      </c>
      <c r="C590" s="4" t="str">
        <f>"0001275094"</f>
        <v>0001275094</v>
      </c>
      <c r="D590" s="5" t="str">
        <f>"Mental models / edited by Dedre Gentner, Albert L. Stevens.-- L. Erlbaum Associates; 1983.-- (Cognitive science / a series of books edited by Donald A. Norman and Roger Schank)."</f>
        <v>Mental models / edited by Dedre Gentner, Albert L. Stevens.-- L. Erlbaum Associates; 1983.-- (Cognitive science / a series of books edited by Donald A. Norman and Roger Schank).</v>
      </c>
      <c r="E590" s="5" t="str">
        <f>""</f>
        <v/>
      </c>
      <c r="F590" s="26"/>
      <c r="G590" s="27" t="str">
        <f>"141.5/GE"</f>
        <v>141.5/GE</v>
      </c>
      <c r="H590" s="4" t="str">
        <f>"1996/08/06"</f>
        <v>1996/08/06</v>
      </c>
      <c r="I590" s="6">
        <v>6790</v>
      </c>
      <c r="J590" s="6">
        <v>100</v>
      </c>
      <c r="K590" s="4" t="str">
        <f>"2  洋書"</f>
        <v>2  洋書</v>
      </c>
      <c r="L590" s="7"/>
    </row>
    <row r="591" spans="1:12" ht="36" x14ac:dyDescent="0.15">
      <c r="A591" s="36">
        <v>590</v>
      </c>
      <c r="B591" s="3" t="s">
        <v>30</v>
      </c>
      <c r="C591" s="4" t="str">
        <f>"0001266115"</f>
        <v>0001266115</v>
      </c>
      <c r="D591" s="5" t="str">
        <f>"A dynamic systems approach to the development of cognition and action / Esther Thelen and Linda B. Smith ; : pbk.-- MIT Press; c1994.-- (MIT Press/Bradford Books series in cognitive psychology)."</f>
        <v>A dynamic systems approach to the development of cognition and action / Esther Thelen and Linda B. Smith ; : pbk.-- MIT Press; c1994.-- (MIT Press/Bradford Books series in cognitive psychology).</v>
      </c>
      <c r="E591" s="5" t="str">
        <f>": pbk"</f>
        <v>: pbk</v>
      </c>
      <c r="F591" s="26"/>
      <c r="G591" s="27" t="str">
        <f>"141.5/TH"</f>
        <v>141.5/TH</v>
      </c>
      <c r="H591" s="4" t="str">
        <f>"1996/03/14"</f>
        <v>1996/03/14</v>
      </c>
      <c r="I591" s="6">
        <v>4310</v>
      </c>
      <c r="J591" s="6">
        <v>100</v>
      </c>
      <c r="K591" s="4" t="str">
        <f>"2  洋書"</f>
        <v>2  洋書</v>
      </c>
      <c r="L591" s="7"/>
    </row>
    <row r="592" spans="1:12" ht="36" x14ac:dyDescent="0.15">
      <c r="A592" s="36">
        <v>591</v>
      </c>
      <c r="B592" s="3" t="s">
        <v>30</v>
      </c>
      <c r="C592" s="10" t="str">
        <f>"0000718424"</f>
        <v>0000718424</v>
      </c>
      <c r="D592" s="11" t="str">
        <f>"創造への教育 : 学習心理への挑戦 / カール・R・ロージァズ著 ; 友田不二男編 ; 伊東博 [ほか] 訳 ; 上, 下.-- 岩崎学術出版社; 1972.4.-- (ロージァズ全集 ; 別巻 4-5)."</f>
        <v>創造への教育 : 学習心理への挑戦 / カール・R・ロージァズ著 ; 友田不二男編 ; 伊東博 [ほか] 訳 ; 上, 下.-- 岩崎学術出版社; 1972.4.-- (ロージァズ全集 ; 別巻 4-5).</v>
      </c>
      <c r="E592" s="11" t="str">
        <f>"上"</f>
        <v>上</v>
      </c>
      <c r="F592" s="28" t="s">
        <v>8</v>
      </c>
      <c r="G592" s="29" t="str">
        <f>"149/ﾛｼﾞ/22"</f>
        <v>149/ﾛｼﾞ/22</v>
      </c>
      <c r="H592" s="10" t="str">
        <f>"1995/03/31"</f>
        <v>1995/03/31</v>
      </c>
      <c r="I592" s="12">
        <v>3180</v>
      </c>
      <c r="J592" s="12">
        <v>100</v>
      </c>
      <c r="K592" s="10" t="str">
        <f t="shared" si="32"/>
        <v>1  和書</v>
      </c>
      <c r="L592" s="13"/>
    </row>
    <row r="593" spans="1:12" ht="36" x14ac:dyDescent="0.15">
      <c r="A593" s="36">
        <v>592</v>
      </c>
      <c r="B593" s="3" t="s">
        <v>30</v>
      </c>
      <c r="C593" s="10" t="str">
        <f>"0000725620"</f>
        <v>0000725620</v>
      </c>
      <c r="D593" s="11" t="str">
        <f>"創造への教育 : 学習心理への挑戦 / カール・R・ロージァズ著 ; 友田不二男編 ; 伊東博 [ほか] 訳 ; 上, 下.-- 岩崎学術出版社; 1972.4.-- (ロージァズ全集 ; 別巻 4-5)."</f>
        <v>創造への教育 : 学習心理への挑戦 / カール・R・ロージァズ著 ; 友田不二男編 ; 伊東博 [ほか] 訳 ; 上, 下.-- 岩崎学術出版社; 1972.4.-- (ロージァズ全集 ; 別巻 4-5).</v>
      </c>
      <c r="E593" s="11" t="str">
        <f>"下"</f>
        <v>下</v>
      </c>
      <c r="F593" s="28" t="s">
        <v>8</v>
      </c>
      <c r="G593" s="29" t="str">
        <f>"149/ﾛｼﾞ/23"</f>
        <v>149/ﾛｼﾞ/23</v>
      </c>
      <c r="H593" s="10" t="str">
        <f>"1995/03/31"</f>
        <v>1995/03/31</v>
      </c>
      <c r="I593" s="12">
        <v>3180</v>
      </c>
      <c r="J593" s="12">
        <v>100</v>
      </c>
      <c r="K593" s="10" t="str">
        <f t="shared" si="32"/>
        <v>1  和書</v>
      </c>
      <c r="L593" s="13"/>
    </row>
    <row r="594" spans="1:12" ht="24" x14ac:dyDescent="0.15">
      <c r="A594" s="36">
        <v>593</v>
      </c>
      <c r="B594" s="3" t="s">
        <v>31</v>
      </c>
      <c r="C594" s="4" t="str">
        <f>"0002921488"</f>
        <v>0002921488</v>
      </c>
      <c r="D594" s="5" t="str">
        <f>"所有のエチカ / 大庭健, 鷲田清一編.-- ナカニシヤ出版; 2000.10.-- (叢書倫理学のフロンティア ; 3)."</f>
        <v>所有のエチカ / 大庭健, 鷲田清一編.-- ナカニシヤ出版; 2000.10.-- (叢書倫理学のフロンティア ; 3).</v>
      </c>
      <c r="E594" s="5" t="str">
        <f>""</f>
        <v/>
      </c>
      <c r="F594" s="26"/>
      <c r="G594" s="27" t="str">
        <f>"150.4/ｵｵ"</f>
        <v>150.4/ｵｵ</v>
      </c>
      <c r="H594" s="4" t="str">
        <f>"2007/11/19"</f>
        <v>2007/11/19</v>
      </c>
      <c r="I594" s="6">
        <v>2079</v>
      </c>
      <c r="J594" s="6">
        <v>100</v>
      </c>
      <c r="K594" s="4" t="str">
        <f t="shared" si="32"/>
        <v>1  和書</v>
      </c>
      <c r="L594" s="7"/>
    </row>
    <row r="595" spans="1:12" ht="24" x14ac:dyDescent="0.15">
      <c r="A595" s="36">
        <v>594</v>
      </c>
      <c r="B595" s="3" t="s">
        <v>32</v>
      </c>
      <c r="C595" s="4" t="str">
        <f>"0002102887"</f>
        <v>0002102887</v>
      </c>
      <c r="D595" s="5" t="str">
        <f>"ケルトの宗教ドルイディズム / 中沢新一, 鶴岡真弓, 月川和雄編著.-- 岩波書店; 1997.12."</f>
        <v>ケルトの宗教ドルイディズム / 中沢新一, 鶴岡真弓, 月川和雄編著.-- 岩波書店; 1997.12.</v>
      </c>
      <c r="E595" s="5" t="str">
        <f>""</f>
        <v/>
      </c>
      <c r="F595" s="26"/>
      <c r="G595" s="27" t="str">
        <f>"163/ﾅｶ"</f>
        <v>163/ﾅｶ</v>
      </c>
      <c r="H595" s="4" t="str">
        <f>"1999/05/24"</f>
        <v>1999/05/24</v>
      </c>
      <c r="I595" s="6">
        <v>3024</v>
      </c>
      <c r="J595" s="6">
        <v>100</v>
      </c>
      <c r="K595" s="4" t="str">
        <f t="shared" si="32"/>
        <v>1  和書</v>
      </c>
      <c r="L595" s="7"/>
    </row>
    <row r="596" spans="1:12" ht="24" x14ac:dyDescent="0.15">
      <c r="A596" s="36">
        <v>595</v>
      </c>
      <c r="B596" s="3" t="s">
        <v>32</v>
      </c>
      <c r="C596" s="4" t="str">
        <f>"0001363579"</f>
        <v>0001363579</v>
      </c>
      <c r="D596" s="5" t="str">
        <f>"ケルトの神話 / M・J・グリーン著 ; 市川裕見子訳.-- 丸善; 1997.5.-- (丸善ブックス ; 062)."</f>
        <v>ケルトの神話 / M・J・グリーン著 ; 市川裕見子訳.-- 丸善; 1997.5.-- (丸善ブックス ; 062).</v>
      </c>
      <c r="E596" s="5" t="str">
        <f>""</f>
        <v/>
      </c>
      <c r="F596" s="26"/>
      <c r="G596" s="27" t="str">
        <f>"164.33/ｸﾞﾘ"</f>
        <v>164.33/ｸﾞﾘ</v>
      </c>
      <c r="H596" s="4" t="str">
        <f>"1997/06/10"</f>
        <v>1997/06/10</v>
      </c>
      <c r="I596" s="6">
        <v>1606</v>
      </c>
      <c r="J596" s="6">
        <v>100</v>
      </c>
      <c r="K596" s="4" t="str">
        <f t="shared" si="32"/>
        <v>1  和書</v>
      </c>
      <c r="L596" s="7"/>
    </row>
    <row r="597" spans="1:12" ht="24" x14ac:dyDescent="0.15">
      <c r="A597" s="36">
        <v>596</v>
      </c>
      <c r="B597" s="3" t="s">
        <v>32</v>
      </c>
      <c r="C597" s="4" t="str">
        <f>"0001386066"</f>
        <v>0001386066</v>
      </c>
      <c r="D597" s="5" t="str">
        <f>"ケルトの神話 / M・J・グリーン著 ; 市川裕見子訳.-- 丸善; 1997.5.-- (丸善ブックス ; 062)."</f>
        <v>ケルトの神話 / M・J・グリーン著 ; 市川裕見子訳.-- 丸善; 1997.5.-- (丸善ブックス ; 062).</v>
      </c>
      <c r="E597" s="5" t="str">
        <f>""</f>
        <v/>
      </c>
      <c r="F597" s="26"/>
      <c r="G597" s="27" t="str">
        <f>"164.33/ｸﾞﾘ"</f>
        <v>164.33/ｸﾞﾘ</v>
      </c>
      <c r="H597" s="4" t="str">
        <f>"1997/12/06"</f>
        <v>1997/12/06</v>
      </c>
      <c r="I597" s="6">
        <v>1606</v>
      </c>
      <c r="J597" s="6">
        <v>100</v>
      </c>
      <c r="K597" s="4" t="str">
        <f t="shared" si="32"/>
        <v>1  和書</v>
      </c>
      <c r="L597" s="7"/>
    </row>
    <row r="598" spans="1:12" x14ac:dyDescent="0.15">
      <c r="A598" s="36">
        <v>597</v>
      </c>
      <c r="B598" s="3" t="s">
        <v>32</v>
      </c>
      <c r="C598" s="4" t="str">
        <f>"0003309803"</f>
        <v>0003309803</v>
      </c>
      <c r="D598" s="5" t="str">
        <f>"オウムと全共闘 / 小浜逸郎著.-- 草思社; 1995.12."</f>
        <v>オウムと全共闘 / 小浜逸郎著.-- 草思社; 1995.12.</v>
      </c>
      <c r="E598" s="5" t="str">
        <f>""</f>
        <v/>
      </c>
      <c r="F598" s="26"/>
      <c r="G598" s="27" t="str">
        <f>"169.1/ｺﾊ"</f>
        <v>169.1/ｺﾊ</v>
      </c>
      <c r="H598" s="4" t="str">
        <f>"2014/04/21"</f>
        <v>2014/04/21</v>
      </c>
      <c r="I598" s="6">
        <v>108</v>
      </c>
      <c r="J598" s="6">
        <v>100</v>
      </c>
      <c r="K598" s="4" t="str">
        <f t="shared" si="32"/>
        <v>1  和書</v>
      </c>
      <c r="L598" s="7"/>
    </row>
    <row r="599" spans="1:12" x14ac:dyDescent="0.15">
      <c r="A599" s="36">
        <v>598</v>
      </c>
      <c r="B599" s="3" t="s">
        <v>32</v>
      </c>
      <c r="C599" s="4" t="str">
        <f>"0001356816"</f>
        <v>0001356816</v>
      </c>
      <c r="D599" s="5" t="str">
        <f>"書物としての新約聖書 / 田川建三著.-- 勁草書房; 1997.1."</f>
        <v>書物としての新約聖書 / 田川建三著.-- 勁草書房; 1997.1.</v>
      </c>
      <c r="E599" s="5" t="str">
        <f>""</f>
        <v/>
      </c>
      <c r="F599" s="26"/>
      <c r="G599" s="27" t="str">
        <f>"193.5/ﾀｶﾞ"</f>
        <v>193.5/ﾀｶﾞ</v>
      </c>
      <c r="H599" s="4" t="str">
        <f>"1997/04/19"</f>
        <v>1997/04/19</v>
      </c>
      <c r="I599" s="6">
        <v>7560</v>
      </c>
      <c r="J599" s="6">
        <v>100</v>
      </c>
      <c r="K599" s="4" t="str">
        <f t="shared" si="32"/>
        <v>1  和書</v>
      </c>
      <c r="L599" s="7"/>
    </row>
    <row r="600" spans="1:12" x14ac:dyDescent="0.15">
      <c r="A600" s="36">
        <v>599</v>
      </c>
      <c r="B600" s="3" t="s">
        <v>32</v>
      </c>
      <c r="C600" s="4" t="str">
        <f>"0002465982"</f>
        <v>0002465982</v>
      </c>
      <c r="D600" s="5" t="str">
        <f>"グノーシス陰の精神史 / 大貫隆 [ほか] 編.-- 岩波書店; 2001.9."</f>
        <v>グノーシス陰の精神史 / 大貫隆 [ほか] 編.-- 岩波書店; 2001.9.</v>
      </c>
      <c r="E600" s="5" t="str">
        <f>""</f>
        <v/>
      </c>
      <c r="F600" s="26"/>
      <c r="G600" s="27" t="str">
        <f>"198/ｵｵ"</f>
        <v>198/ｵｵ</v>
      </c>
      <c r="H600" s="4" t="str">
        <f>"2001/10/26"</f>
        <v>2001/10/26</v>
      </c>
      <c r="I600" s="6">
        <v>6426</v>
      </c>
      <c r="J600" s="6">
        <v>100</v>
      </c>
      <c r="K600" s="4" t="str">
        <f t="shared" si="32"/>
        <v>1  和書</v>
      </c>
      <c r="L600" s="7"/>
    </row>
    <row r="601" spans="1:12" x14ac:dyDescent="0.15">
      <c r="A601" s="36">
        <v>600</v>
      </c>
      <c r="B601" s="3" t="s">
        <v>32</v>
      </c>
      <c r="C601" s="4" t="str">
        <f>"0002484440"</f>
        <v>0002484440</v>
      </c>
      <c r="D601" s="5" t="str">
        <f>"グノーシス異端と近代 / 大貫隆 [ほか] 編.-- 岩波書店; 2001.11."</f>
        <v>グノーシス異端と近代 / 大貫隆 [ほか] 編.-- 岩波書店; 2001.11.</v>
      </c>
      <c r="E601" s="5" t="str">
        <f>""</f>
        <v/>
      </c>
      <c r="F601" s="26"/>
      <c r="G601" s="27" t="str">
        <f>"198/ｵｵ"</f>
        <v>198/ｵｵ</v>
      </c>
      <c r="H601" s="4" t="str">
        <f>"2002/04/01"</f>
        <v>2002/04/01</v>
      </c>
      <c r="I601" s="6">
        <v>6426</v>
      </c>
      <c r="J601" s="6">
        <v>100</v>
      </c>
      <c r="K601" s="4" t="str">
        <f t="shared" si="32"/>
        <v>1  和書</v>
      </c>
      <c r="L601" s="7"/>
    </row>
    <row r="602" spans="1:12" ht="36" x14ac:dyDescent="0.15">
      <c r="A602" s="36">
        <v>601</v>
      </c>
      <c r="B602" s="3" t="s">
        <v>32</v>
      </c>
      <c r="C602" s="10" t="str">
        <f>"0001475494"</f>
        <v>0001475494</v>
      </c>
      <c r="D602" s="11" t="str">
        <f>"Power and religiosity in a post-colonial setting : Sinhala Catholics in contemporary Sri Lanka / R.L. Stirrat.-- Cambridge University Press; 1992.-- (Cambridge studies in social and cultural anthropology ; 87)."</f>
        <v>Power and religiosity in a post-colonial setting : Sinhala Catholics in contemporary Sri Lanka / R.L. Stirrat.-- Cambridge University Press; 1992.-- (Cambridge studies in social and cultural anthropology ; 87).</v>
      </c>
      <c r="E602" s="11" t="str">
        <f>""</f>
        <v/>
      </c>
      <c r="F602" s="28" t="s">
        <v>8</v>
      </c>
      <c r="G602" s="29" t="str">
        <f>"198.2/ST"</f>
        <v>198.2/ST</v>
      </c>
      <c r="H602" s="10" t="str">
        <f>"1997/03/31"</f>
        <v>1997/03/31</v>
      </c>
      <c r="I602" s="12">
        <v>5814</v>
      </c>
      <c r="J602" s="12">
        <v>100</v>
      </c>
      <c r="K602" s="10" t="str">
        <f>"2  洋書"</f>
        <v>2  洋書</v>
      </c>
      <c r="L602" s="13"/>
    </row>
    <row r="603" spans="1:12" ht="24" x14ac:dyDescent="0.15">
      <c r="A603" s="36">
        <v>602</v>
      </c>
      <c r="B603" s="3" t="s">
        <v>33</v>
      </c>
      <c r="C603" s="4" t="str">
        <f>"0001845761"</f>
        <v>0001845761</v>
      </c>
      <c r="D603" s="5" t="str">
        <f>"世界史の第二ラウンドは可能か : イスラム世界の視点から / 三木亘著.-- 平凡社; 1998.9.-- (これからの世界史 ; 2)."</f>
        <v>世界史の第二ラウンドは可能か : イスラム世界の視点から / 三木亘著.-- 平凡社; 1998.9.-- (これからの世界史 ; 2).</v>
      </c>
      <c r="E603" s="5" t="str">
        <f>""</f>
        <v/>
      </c>
      <c r="F603" s="26"/>
      <c r="G603" s="27" t="str">
        <f>"209/ﾐｷ"</f>
        <v>209/ﾐｷ</v>
      </c>
      <c r="H603" s="4" t="str">
        <f>"1998/11/02"</f>
        <v>1998/11/02</v>
      </c>
      <c r="I603" s="6">
        <v>2567</v>
      </c>
      <c r="J603" s="6">
        <v>100</v>
      </c>
      <c r="K603" s="4" t="str">
        <f t="shared" si="32"/>
        <v>1  和書</v>
      </c>
      <c r="L603" s="7"/>
    </row>
    <row r="604" spans="1:12" ht="24" x14ac:dyDescent="0.15">
      <c r="A604" s="36">
        <v>603</v>
      </c>
      <c r="B604" s="3" t="s">
        <v>34</v>
      </c>
      <c r="C604" s="10" t="str">
        <f>"0001985818"</f>
        <v>0001985818</v>
      </c>
      <c r="D604" s="11" t="str">
        <f>"昭和と戦争 : 語り継ぐ7000日 / ユーキャン企画 ; 鑑賞の手引き.-- ユーキャン; [2002]. v."</f>
        <v>昭和と戦争 : 語り継ぐ7000日 / ユーキャン企画 ; 鑑賞の手引き.-- ユーキャン; [2002]. v.</v>
      </c>
      <c r="E604" s="11" t="str">
        <f>"鑑賞の手引き"</f>
        <v>鑑賞の手引き</v>
      </c>
      <c r="F604" s="28" t="s">
        <v>8</v>
      </c>
      <c r="G604" s="29" t="str">
        <f>"210/ﾕｷ"</f>
        <v>210/ﾕｷ</v>
      </c>
      <c r="H604" s="10" t="str">
        <f t="shared" ref="H604:H609" si="33">"2006/03/28"</f>
        <v>2006/03/28</v>
      </c>
      <c r="I604" s="12">
        <v>400</v>
      </c>
      <c r="J604" s="12">
        <v>100</v>
      </c>
      <c r="K604" s="10" t="str">
        <f t="shared" si="32"/>
        <v>1  和書</v>
      </c>
      <c r="L604" s="13"/>
    </row>
    <row r="605" spans="1:12" ht="36" x14ac:dyDescent="0.15">
      <c r="A605" s="36">
        <v>604</v>
      </c>
      <c r="B605" s="3" t="s">
        <v>34</v>
      </c>
      <c r="C605" s="10" t="str">
        <f>"0001985733"</f>
        <v>0001985733</v>
      </c>
      <c r="D605" s="11" t="str">
        <f>"満蒙に賭けた夢 : 王道楽土は我らの手で : 昭和4年?10年 / ユーキャン企画 ; セレブロ制作 ; トーオン協力 ; ビクターエンタテインメント製造.-- ユーキャン; [2002].-- (昭和と戦争 : 語り継ぐ7000日 / ユーキャン企画 ; 1). v."</f>
        <v>満蒙に賭けた夢 : 王道楽土は我らの手で : 昭和4年?10年 / ユーキャン企画 ; セレブロ制作 ; トーオン協力 ; ビクターエンタテインメント製造.-- ユーキャン; [2002].-- (昭和と戦争 : 語り継ぐ7000日 / ユーキャン企画 ; 1). v.</v>
      </c>
      <c r="E605" s="11" t="str">
        <f>""</f>
        <v/>
      </c>
      <c r="F605" s="28" t="s">
        <v>8</v>
      </c>
      <c r="G605" s="29" t="str">
        <f>"V210/ﾕｷ/1"</f>
        <v>V210/ﾕｷ/1</v>
      </c>
      <c r="H605" s="10" t="str">
        <f t="shared" si="33"/>
        <v>2006/03/28</v>
      </c>
      <c r="I605" s="12">
        <v>1000</v>
      </c>
      <c r="J605" s="12">
        <v>100</v>
      </c>
      <c r="K605" s="10" t="str">
        <f t="shared" si="32"/>
        <v>1  和書</v>
      </c>
      <c r="L605" s="13"/>
    </row>
    <row r="606" spans="1:12" ht="36" x14ac:dyDescent="0.15">
      <c r="A606" s="36">
        <v>605</v>
      </c>
      <c r="B606" s="3" t="s">
        <v>34</v>
      </c>
      <c r="C606" s="10" t="str">
        <f>"0001985740"</f>
        <v>0001985740</v>
      </c>
      <c r="D606" s="11" t="str">
        <f>"赤紙が届く日 : 挙国一致・進め皇軍 : 昭和11年?12年 / ユーキャン企画 ; セレブロ制作 ; トーオン協力 ; 日本コロムビア製造.-- ユーキャン; [2002].-- (昭和と戦争 : 語り継ぐ7000日 / ユーキャン企画 ; 2). v."</f>
        <v>赤紙が届く日 : 挙国一致・進め皇軍 : 昭和11年?12年 / ユーキャン企画 ; セレブロ制作 ; トーオン協力 ; 日本コロムビア製造.-- ユーキャン; [2002].-- (昭和と戦争 : 語り継ぐ7000日 / ユーキャン企画 ; 2). v.</v>
      </c>
      <c r="E606" s="11" t="str">
        <f>""</f>
        <v/>
      </c>
      <c r="F606" s="28" t="s">
        <v>8</v>
      </c>
      <c r="G606" s="29" t="str">
        <f>"V210/ﾕｷ/2"</f>
        <v>V210/ﾕｷ/2</v>
      </c>
      <c r="H606" s="10" t="str">
        <f t="shared" si="33"/>
        <v>2006/03/28</v>
      </c>
      <c r="I606" s="12">
        <v>1000</v>
      </c>
      <c r="J606" s="12">
        <v>100</v>
      </c>
      <c r="K606" s="10" t="str">
        <f t="shared" si="32"/>
        <v>1  和書</v>
      </c>
      <c r="L606" s="13"/>
    </row>
    <row r="607" spans="1:12" ht="36" x14ac:dyDescent="0.15">
      <c r="A607" s="36">
        <v>606</v>
      </c>
      <c r="B607" s="3" t="s">
        <v>34</v>
      </c>
      <c r="C607" s="10" t="str">
        <f>"0001985788"</f>
        <v>0001985788</v>
      </c>
      <c r="D607" s="11" t="str">
        <f>"本土決戦の覚悟 : 一億玉砕を合言葉に : 昭和20年 / ユーキャン企画 ; セレブロ制作 ; トーオン協力 ; 日本コロムビア製造.-- ユーキャン; [2002].-- (昭和と戦争 : 語り継ぐ7000日 / ユーキャン企画 ; 6). v."</f>
        <v>本土決戦の覚悟 : 一億玉砕を合言葉に : 昭和20年 / ユーキャン企画 ; セレブロ制作 ; トーオン協力 ; 日本コロムビア製造.-- ユーキャン; [2002].-- (昭和と戦争 : 語り継ぐ7000日 / ユーキャン企画 ; 6). v.</v>
      </c>
      <c r="E607" s="11" t="str">
        <f>""</f>
        <v/>
      </c>
      <c r="F607" s="28" t="s">
        <v>8</v>
      </c>
      <c r="G607" s="29" t="str">
        <f>"V210/ﾕｷ/6"</f>
        <v>V210/ﾕｷ/6</v>
      </c>
      <c r="H607" s="10" t="str">
        <f t="shared" si="33"/>
        <v>2006/03/28</v>
      </c>
      <c r="I607" s="12">
        <v>1000</v>
      </c>
      <c r="J607" s="12">
        <v>100</v>
      </c>
      <c r="K607" s="10" t="str">
        <f t="shared" si="32"/>
        <v>1  和書</v>
      </c>
      <c r="L607" s="13"/>
    </row>
    <row r="608" spans="1:12" ht="36" x14ac:dyDescent="0.15">
      <c r="A608" s="36">
        <v>607</v>
      </c>
      <c r="B608" s="3" t="s">
        <v>34</v>
      </c>
      <c r="C608" s="10" t="str">
        <f>"0001985795"</f>
        <v>0001985795</v>
      </c>
      <c r="D608" s="11" t="str">
        <f>"焼け跡をさ迷う : 進駐軍がやって来た : 昭和20年?21年 / ユーキャン企画 ; セレブロ制作 ; トーオン協力 ; 日本コロムビア製造.-- ユーキャン; [2002].-- (昭和と戦争 : 語り継ぐ7000日 / ユーキャン企画 ; 7). v."</f>
        <v>焼け跡をさ迷う : 進駐軍がやって来た : 昭和20年?21年 / ユーキャン企画 ; セレブロ制作 ; トーオン協力 ; 日本コロムビア製造.-- ユーキャン; [2002].-- (昭和と戦争 : 語り継ぐ7000日 / ユーキャン企画 ; 7). v.</v>
      </c>
      <c r="E608" s="11" t="str">
        <f>""</f>
        <v/>
      </c>
      <c r="F608" s="28" t="s">
        <v>8</v>
      </c>
      <c r="G608" s="29" t="str">
        <f>"V210/ﾕｷ/7"</f>
        <v>V210/ﾕｷ/7</v>
      </c>
      <c r="H608" s="10" t="str">
        <f t="shared" si="33"/>
        <v>2006/03/28</v>
      </c>
      <c r="I608" s="12">
        <v>1000</v>
      </c>
      <c r="J608" s="12">
        <v>100</v>
      </c>
      <c r="K608" s="10" t="str">
        <f t="shared" si="32"/>
        <v>1  和書</v>
      </c>
      <c r="L608" s="13"/>
    </row>
    <row r="609" spans="1:12" ht="36" x14ac:dyDescent="0.15">
      <c r="A609" s="36">
        <v>608</v>
      </c>
      <c r="B609" s="3" t="s">
        <v>34</v>
      </c>
      <c r="C609" s="10" t="str">
        <f>"0001985801"</f>
        <v>0001985801</v>
      </c>
      <c r="D609" s="11" t="str">
        <f>"独立への道のり : 古い上衣を脱ぎ捨てて : 昭和22年?26年 / ユーキャン企画 ; セレブロ制作 ; トーオン協力 ; 日本コロムビア製造.-- ユーキャン; [2002].-- (昭和と戦争 : 語り継ぐ7000日 / ユーキャン企画 ; 8). v."</f>
        <v>独立への道のり : 古い上衣を脱ぎ捨てて : 昭和22年?26年 / ユーキャン企画 ; セレブロ制作 ; トーオン協力 ; 日本コロムビア製造.-- ユーキャン; [2002].-- (昭和と戦争 : 語り継ぐ7000日 / ユーキャン企画 ; 8). v.</v>
      </c>
      <c r="E609" s="11" t="str">
        <f>""</f>
        <v/>
      </c>
      <c r="F609" s="28" t="s">
        <v>8</v>
      </c>
      <c r="G609" s="29" t="str">
        <f>"V210/ﾕｷ/8"</f>
        <v>V210/ﾕｷ/8</v>
      </c>
      <c r="H609" s="10" t="str">
        <f t="shared" si="33"/>
        <v>2006/03/28</v>
      </c>
      <c r="I609" s="12">
        <v>1000</v>
      </c>
      <c r="J609" s="12">
        <v>100</v>
      </c>
      <c r="K609" s="10" t="str">
        <f t="shared" si="32"/>
        <v>1  和書</v>
      </c>
      <c r="L609" s="13"/>
    </row>
    <row r="610" spans="1:12" ht="24" x14ac:dyDescent="0.15">
      <c r="A610" s="36">
        <v>609</v>
      </c>
      <c r="B610" s="3" t="s">
        <v>34</v>
      </c>
      <c r="C610" s="10" t="str">
        <f>"0002465357"</f>
        <v>0002465357</v>
      </c>
      <c r="D610" s="11" t="str">
        <f>"隼人世界の島々 / 大林太良 [ほか] 著.-- 小学館; 1990.10.-- (海と列島文化 / 網野善彦 [ほか] 編 ; 第5巻)."</f>
        <v>隼人世界の島々 / 大林太良 [ほか] 著.-- 小学館; 1990.10.-- (海と列島文化 / 網野善彦 [ほか] 編 ; 第5巻).</v>
      </c>
      <c r="E610" s="11" t="str">
        <f>""</f>
        <v/>
      </c>
      <c r="F610" s="28" t="s">
        <v>8</v>
      </c>
      <c r="G610" s="29" t="str">
        <f>"210.08/ｳﾐ/5"</f>
        <v>210.08/ｳﾐ/5</v>
      </c>
      <c r="H610" s="10" t="str">
        <f>"2001/10/26"</f>
        <v>2001/10/26</v>
      </c>
      <c r="I610" s="12">
        <v>4000</v>
      </c>
      <c r="J610" s="12">
        <v>100</v>
      </c>
      <c r="K610" s="10" t="str">
        <f t="shared" si="32"/>
        <v>1  和書</v>
      </c>
      <c r="L610" s="13"/>
    </row>
    <row r="611" spans="1:12" ht="24" x14ac:dyDescent="0.15">
      <c r="A611" s="36">
        <v>610</v>
      </c>
      <c r="B611" s="3" t="s">
        <v>34</v>
      </c>
      <c r="C611" s="4" t="str">
        <f>"0002109879"</f>
        <v>0002109879</v>
      </c>
      <c r="D611" s="5" t="str">
        <f>"近代日本への視角 / 筒井清忠 [ほか] 執筆.-- 岩波書店; 1999.3.-- (近代日本文化論 / 青木保 [ほか] 編集委員 ; 1)."</f>
        <v>近代日本への視角 / 筒井清忠 [ほか] 執筆.-- 岩波書店; 1999.3.-- (近代日本文化論 / 青木保 [ほか] 編集委員 ; 1).</v>
      </c>
      <c r="E611" s="5" t="str">
        <f>""</f>
        <v/>
      </c>
      <c r="F611" s="26"/>
      <c r="G611" s="27" t="str">
        <f>"210.6/ｱｵ/1"</f>
        <v>210.6/ｱｵ/1</v>
      </c>
      <c r="H611" s="4" t="str">
        <f>"1999/06/28"</f>
        <v>1999/06/28</v>
      </c>
      <c r="I611" s="6">
        <v>2362</v>
      </c>
      <c r="J611" s="6">
        <v>100</v>
      </c>
      <c r="K611" s="4" t="str">
        <f t="shared" si="32"/>
        <v>1  和書</v>
      </c>
      <c r="L611" s="7"/>
    </row>
    <row r="612" spans="1:12" ht="24" x14ac:dyDescent="0.15">
      <c r="A612" s="36">
        <v>611</v>
      </c>
      <c r="B612" s="3" t="s">
        <v>34</v>
      </c>
      <c r="C612" s="4" t="str">
        <f>"0002119267"</f>
        <v>0002119267</v>
      </c>
      <c r="D612" s="5" t="str">
        <f>"戦争と軍隊 / [佐藤忠男ほか執筆].-- 岩波書店; 1999.8.-- (近代日本文化論 / 青木保 [ほか] 編集委員 ; 10)."</f>
        <v>戦争と軍隊 / [佐藤忠男ほか執筆].-- 岩波書店; 1999.8.-- (近代日本文化論 / 青木保 [ほか] 編集委員 ; 10).</v>
      </c>
      <c r="E612" s="5" t="str">
        <f>""</f>
        <v/>
      </c>
      <c r="F612" s="26"/>
      <c r="G612" s="27" t="str">
        <f>"210.6/ｱｵ/10"</f>
        <v>210.6/ｱｵ/10</v>
      </c>
      <c r="H612" s="4" t="str">
        <f>"1999/10/15"</f>
        <v>1999/10/15</v>
      </c>
      <c r="I612" s="6">
        <v>2457</v>
      </c>
      <c r="J612" s="6">
        <v>100</v>
      </c>
      <c r="K612" s="4" t="str">
        <f t="shared" si="32"/>
        <v>1  和書</v>
      </c>
      <c r="L612" s="7"/>
    </row>
    <row r="613" spans="1:12" ht="24" x14ac:dyDescent="0.15">
      <c r="A613" s="36">
        <v>612</v>
      </c>
      <c r="B613" s="3" t="s">
        <v>34</v>
      </c>
      <c r="C613" s="4" t="str">
        <f>"0002153100"</f>
        <v>0002153100</v>
      </c>
      <c r="D613" s="5" t="str">
        <f>"愛と苦難 / 山折哲雄 [ほか] 執筆.-- 岩波書店; 1999.12.-- (近代日本文化論 / 青木保 [ほか] 編集委員 ; 11)."</f>
        <v>愛と苦難 / 山折哲雄 [ほか] 執筆.-- 岩波書店; 1999.12.-- (近代日本文化論 / 青木保 [ほか] 編集委員 ; 11).</v>
      </c>
      <c r="E613" s="5" t="str">
        <f>""</f>
        <v/>
      </c>
      <c r="F613" s="26"/>
      <c r="G613" s="27" t="str">
        <f>"210.6/ｱｵ/11"</f>
        <v>210.6/ｱｵ/11</v>
      </c>
      <c r="H613" s="4" t="str">
        <f>"2000/04/27"</f>
        <v>2000/04/27</v>
      </c>
      <c r="I613" s="6">
        <v>2457</v>
      </c>
      <c r="J613" s="6">
        <v>100</v>
      </c>
      <c r="K613" s="4" t="str">
        <f t="shared" si="32"/>
        <v>1  和書</v>
      </c>
      <c r="L613" s="7"/>
    </row>
    <row r="614" spans="1:12" ht="24" x14ac:dyDescent="0.15">
      <c r="A614" s="36">
        <v>613</v>
      </c>
      <c r="B614" s="3" t="s">
        <v>34</v>
      </c>
      <c r="C614" s="4" t="str">
        <f>"0002152837"</f>
        <v>0002152837</v>
      </c>
      <c r="D614" s="5" t="str">
        <f>"ハイカルチャー / 青木保 [ほか] 執筆.-- 岩波書店; 2000.3.-- (近代日本文化論 / 青木保 [ほか] 編集委員 ; 3)."</f>
        <v>ハイカルチャー / 青木保 [ほか] 執筆.-- 岩波書店; 2000.3.-- (近代日本文化論 / 青木保 [ほか] 編集委員 ; 3).</v>
      </c>
      <c r="E614" s="5" t="str">
        <f>""</f>
        <v/>
      </c>
      <c r="F614" s="26"/>
      <c r="G614" s="27" t="str">
        <f>"210.6/ｱｵ/3"</f>
        <v>210.6/ｱｵ/3</v>
      </c>
      <c r="H614" s="4" t="str">
        <f>"2000/05/01"</f>
        <v>2000/05/01</v>
      </c>
      <c r="I614" s="6">
        <v>2457</v>
      </c>
      <c r="J614" s="6">
        <v>100</v>
      </c>
      <c r="K614" s="4" t="str">
        <f t="shared" si="32"/>
        <v>1  和書</v>
      </c>
      <c r="L614" s="7"/>
    </row>
    <row r="615" spans="1:12" ht="24" x14ac:dyDescent="0.15">
      <c r="A615" s="36">
        <v>614</v>
      </c>
      <c r="B615" s="3" t="s">
        <v>34</v>
      </c>
      <c r="C615" s="4" t="str">
        <f>"0002119274"</f>
        <v>0002119274</v>
      </c>
      <c r="D615" s="5" t="str">
        <f>"知識人.-- 岩波書店; 1999.9.-- (近代日本文化論 / 青木保 [ほか] 編集委員 ; 4)."</f>
        <v>知識人.-- 岩波書店; 1999.9.-- (近代日本文化論 / 青木保 [ほか] 編集委員 ; 4).</v>
      </c>
      <c r="E615" s="5" t="str">
        <f>""</f>
        <v/>
      </c>
      <c r="F615" s="26"/>
      <c r="G615" s="27" t="str">
        <f>"210.6/ｱｵ/4"</f>
        <v>210.6/ｱｵ/4</v>
      </c>
      <c r="H615" s="4" t="str">
        <f>"1999/10/15"</f>
        <v>1999/10/15</v>
      </c>
      <c r="I615" s="6">
        <v>2457</v>
      </c>
      <c r="J615" s="6">
        <v>100</v>
      </c>
      <c r="K615" s="4" t="str">
        <f t="shared" si="32"/>
        <v>1  和書</v>
      </c>
      <c r="L615" s="7"/>
    </row>
    <row r="616" spans="1:12" ht="24" x14ac:dyDescent="0.15">
      <c r="A616" s="36">
        <v>615</v>
      </c>
      <c r="B616" s="3" t="s">
        <v>34</v>
      </c>
      <c r="C616" s="4" t="str">
        <f>"0002153001"</f>
        <v>0002153001</v>
      </c>
      <c r="D616" s="5" t="str">
        <f>"犯罪と風俗 / 川村邦光 [ほか] 執筆.-- 岩波書店; 2000.2.-- (近代日本文化論 / 青木保 [ほか] 編集委員 ; 6)."</f>
        <v>犯罪と風俗 / 川村邦光 [ほか] 執筆.-- 岩波書店; 2000.2.-- (近代日本文化論 / 青木保 [ほか] 編集委員 ; 6).</v>
      </c>
      <c r="E616" s="5" t="str">
        <f>""</f>
        <v/>
      </c>
      <c r="F616" s="26"/>
      <c r="G616" s="27" t="str">
        <f>"210.6/ｱｵ/6"</f>
        <v>210.6/ｱｵ/6</v>
      </c>
      <c r="H616" s="4" t="str">
        <f>"2000/05/01"</f>
        <v>2000/05/01</v>
      </c>
      <c r="I616" s="6">
        <v>2457</v>
      </c>
      <c r="J616" s="6">
        <v>100</v>
      </c>
      <c r="K616" s="4" t="str">
        <f t="shared" si="32"/>
        <v>1  和書</v>
      </c>
      <c r="L616" s="7"/>
    </row>
    <row r="617" spans="1:12" ht="24" x14ac:dyDescent="0.15">
      <c r="A617" s="36">
        <v>616</v>
      </c>
      <c r="B617" s="3" t="s">
        <v>34</v>
      </c>
      <c r="C617" s="4" t="str">
        <f>"0002108957"</f>
        <v>0002108957</v>
      </c>
      <c r="D617" s="5" t="str">
        <f>"宗教と生活.-- 岩波書店; 1999.3.-- (近代日本文化論 / 青木保 [ほか] 編集委員 ; 9)."</f>
        <v>宗教と生活.-- 岩波書店; 1999.3.-- (近代日本文化論 / 青木保 [ほか] 編集委員 ; 9).</v>
      </c>
      <c r="E617" s="5" t="str">
        <f>""</f>
        <v/>
      </c>
      <c r="F617" s="26"/>
      <c r="G617" s="27" t="str">
        <f>"210.6/ｱｵ/9"</f>
        <v>210.6/ｱｵ/9</v>
      </c>
      <c r="H617" s="4" t="str">
        <f>"1999/06/08"</f>
        <v>1999/06/08</v>
      </c>
      <c r="I617" s="6">
        <v>2457</v>
      </c>
      <c r="J617" s="6">
        <v>100</v>
      </c>
      <c r="K617" s="4" t="str">
        <f t="shared" si="32"/>
        <v>1  和書</v>
      </c>
      <c r="L617" s="7"/>
    </row>
    <row r="618" spans="1:12" ht="24" x14ac:dyDescent="0.15">
      <c r="A618" s="36">
        <v>617</v>
      </c>
      <c r="B618" s="3" t="s">
        <v>34</v>
      </c>
      <c r="C618" s="10" t="str">
        <f>"9100011190"</f>
        <v>9100011190</v>
      </c>
      <c r="D618" s="11" t="str">
        <f>"ノー・モア・ヒロシマ : 50年後の空洞と重さ / 小倉豊文著.-- 風涛社; 1994.8."</f>
        <v>ノー・モア・ヒロシマ : 50年後の空洞と重さ / 小倉豊文著.-- 風涛社; 1994.8.</v>
      </c>
      <c r="E618" s="11" t="str">
        <f>""</f>
        <v/>
      </c>
      <c r="F618" s="28" t="s">
        <v>8</v>
      </c>
      <c r="G618" s="29" t="str">
        <f>"210.75/ｵｸﾞ"</f>
        <v>210.75/ｵｸﾞ</v>
      </c>
      <c r="H618" s="10" t="str">
        <f>"2011/04/01"</f>
        <v>2011/04/01</v>
      </c>
      <c r="I618" s="12">
        <v>1</v>
      </c>
      <c r="J618" s="12">
        <v>100</v>
      </c>
      <c r="K618" s="10" t="str">
        <f t="shared" si="32"/>
        <v>1  和書</v>
      </c>
      <c r="L618" s="13"/>
    </row>
    <row r="619" spans="1:12" ht="36" x14ac:dyDescent="0.15">
      <c r="A619" s="36">
        <v>618</v>
      </c>
      <c r="B619" s="3" t="s">
        <v>34</v>
      </c>
      <c r="C619" s="4" t="str">
        <f>"9100019721"</f>
        <v>9100019721</v>
      </c>
      <c r="D619" s="5" t="str">
        <f>"なぜ、いまアジア・太平洋戦争か / 成田龍一 [ほか] 執筆.-- 岩波書店; 2005.11.-- (岩波講座アジア・太平洋戦争 / 倉沢愛子 [ほか] 編集委員 ; 1)."</f>
        <v>なぜ、いまアジア・太平洋戦争か / 成田龍一 [ほか] 執筆.-- 岩波書店; 2005.11.-- (岩波講座アジア・太平洋戦争 / 倉沢愛子 [ほか] 編集委員 ; 1).</v>
      </c>
      <c r="E619" s="5" t="str">
        <f>""</f>
        <v/>
      </c>
      <c r="F619" s="26"/>
      <c r="G619" s="27" t="str">
        <f>"210.75/ｸﾗ/1"</f>
        <v>210.75/ｸﾗ/1</v>
      </c>
      <c r="H619" s="4" t="str">
        <f t="shared" ref="H619:H625" si="34">"2013/02/28"</f>
        <v>2013/02/28</v>
      </c>
      <c r="I619" s="6">
        <v>4000</v>
      </c>
      <c r="J619" s="6">
        <v>100</v>
      </c>
      <c r="K619" s="4" t="str">
        <f t="shared" si="32"/>
        <v>1  和書</v>
      </c>
      <c r="L619" s="7"/>
    </row>
    <row r="620" spans="1:12" ht="36" x14ac:dyDescent="0.15">
      <c r="A620" s="36">
        <v>619</v>
      </c>
      <c r="B620" s="3" t="s">
        <v>34</v>
      </c>
      <c r="C620" s="4" t="str">
        <f>"9100019745"</f>
        <v>9100019745</v>
      </c>
      <c r="D620" s="5" t="str">
        <f>"動員・抵抗・翼賛 / [テッサ・モーリス-スズキほか執筆].-- 岩波書店; 2006.1.-- (岩波講座アジア・太平洋戦争 / 倉沢愛子 [ほか] 編集委員 ; 3)."</f>
        <v>動員・抵抗・翼賛 / [テッサ・モーリス-スズキほか執筆].-- 岩波書店; 2006.1.-- (岩波講座アジア・太平洋戦争 / 倉沢愛子 [ほか] 編集委員 ; 3).</v>
      </c>
      <c r="E620" s="5" t="str">
        <f>""</f>
        <v/>
      </c>
      <c r="F620" s="26"/>
      <c r="G620" s="27" t="str">
        <f>"210.75/ｸﾗ/3"</f>
        <v>210.75/ｸﾗ/3</v>
      </c>
      <c r="H620" s="4" t="str">
        <f t="shared" si="34"/>
        <v>2013/02/28</v>
      </c>
      <c r="I620" s="6">
        <v>4000</v>
      </c>
      <c r="J620" s="6">
        <v>100</v>
      </c>
      <c r="K620" s="4" t="str">
        <f t="shared" si="32"/>
        <v>1  和書</v>
      </c>
      <c r="L620" s="7"/>
    </row>
    <row r="621" spans="1:12" ht="24" x14ac:dyDescent="0.15">
      <c r="A621" s="36">
        <v>620</v>
      </c>
      <c r="B621" s="3" t="s">
        <v>34</v>
      </c>
      <c r="C621" s="4" t="str">
        <f>"9100019752"</f>
        <v>9100019752</v>
      </c>
      <c r="D621" s="5" t="str">
        <f>"帝国の戦争経験 / [杉原達ほか執筆].-- 岩波書店; 2006.2.-- (岩波講座アジア・太平洋戦争 / 倉沢愛子 [ほか] 編集委員 ; 4)."</f>
        <v>帝国の戦争経験 / [杉原達ほか執筆].-- 岩波書店; 2006.2.-- (岩波講座アジア・太平洋戦争 / 倉沢愛子 [ほか] 編集委員 ; 4).</v>
      </c>
      <c r="E621" s="5" t="str">
        <f>""</f>
        <v/>
      </c>
      <c r="F621" s="26"/>
      <c r="G621" s="27" t="str">
        <f>"210.75/ｸﾗ/4"</f>
        <v>210.75/ｸﾗ/4</v>
      </c>
      <c r="H621" s="4" t="str">
        <f t="shared" si="34"/>
        <v>2013/02/28</v>
      </c>
      <c r="I621" s="6">
        <v>4000</v>
      </c>
      <c r="J621" s="6">
        <v>100</v>
      </c>
      <c r="K621" s="4" t="str">
        <f t="shared" si="32"/>
        <v>1  和書</v>
      </c>
      <c r="L621" s="7"/>
    </row>
    <row r="622" spans="1:12" ht="24" x14ac:dyDescent="0.15">
      <c r="A622" s="36">
        <v>621</v>
      </c>
      <c r="B622" s="3" t="s">
        <v>34</v>
      </c>
      <c r="C622" s="4" t="str">
        <f>"9100019769"</f>
        <v>9100019769</v>
      </c>
      <c r="D622" s="5" t="str">
        <f>"戦場の諸相 / [吉田裕ほか執筆].-- 岩波書店; 2006.3.-- (岩波講座アジア・太平洋戦争 / 倉沢愛子 [ほか] 編集委員 ; 5)."</f>
        <v>戦場の諸相 / [吉田裕ほか執筆].-- 岩波書店; 2006.3.-- (岩波講座アジア・太平洋戦争 / 倉沢愛子 [ほか] 編集委員 ; 5).</v>
      </c>
      <c r="E622" s="5" t="str">
        <f>""</f>
        <v/>
      </c>
      <c r="F622" s="26"/>
      <c r="G622" s="27" t="str">
        <f>"210.75/ｸﾗ/5"</f>
        <v>210.75/ｸﾗ/5</v>
      </c>
      <c r="H622" s="4" t="str">
        <f t="shared" si="34"/>
        <v>2013/02/28</v>
      </c>
      <c r="I622" s="6">
        <v>4000</v>
      </c>
      <c r="J622" s="6">
        <v>100</v>
      </c>
      <c r="K622" s="4" t="str">
        <f t="shared" si="32"/>
        <v>1  和書</v>
      </c>
      <c r="L622" s="7"/>
    </row>
    <row r="623" spans="1:12" ht="24" x14ac:dyDescent="0.15">
      <c r="A623" s="36">
        <v>622</v>
      </c>
      <c r="B623" s="3" t="s">
        <v>34</v>
      </c>
      <c r="C623" s="4" t="str">
        <f>"9100019776"</f>
        <v>9100019776</v>
      </c>
      <c r="D623" s="5" t="str">
        <f>"日常生活の中の総力戦 / 成田龍一 [ほか] 執筆.-- 岩波書店; 2006.4.-- (岩波講座アジア・太平洋戦争 / 倉沢愛子 [ほか] 編集委員 ; 6)."</f>
        <v>日常生活の中の総力戦 / 成田龍一 [ほか] 執筆.-- 岩波書店; 2006.4.-- (岩波講座アジア・太平洋戦争 / 倉沢愛子 [ほか] 編集委員 ; 6).</v>
      </c>
      <c r="E623" s="5" t="str">
        <f>""</f>
        <v/>
      </c>
      <c r="F623" s="26"/>
      <c r="G623" s="27" t="str">
        <f>"210.75/ｸﾗ/6"</f>
        <v>210.75/ｸﾗ/6</v>
      </c>
      <c r="H623" s="4" t="str">
        <f t="shared" si="34"/>
        <v>2013/02/28</v>
      </c>
      <c r="I623" s="6">
        <v>4000</v>
      </c>
      <c r="J623" s="6">
        <v>100</v>
      </c>
      <c r="K623" s="4" t="str">
        <f t="shared" si="32"/>
        <v>1  和書</v>
      </c>
      <c r="L623" s="7"/>
    </row>
    <row r="624" spans="1:12" ht="24" x14ac:dyDescent="0.15">
      <c r="A624" s="36">
        <v>623</v>
      </c>
      <c r="B624" s="3" t="s">
        <v>34</v>
      </c>
      <c r="C624" s="4" t="str">
        <f>"9100019783"</f>
        <v>9100019783</v>
      </c>
      <c r="D624" s="5" t="str">
        <f>"支配と暴力 / [倉沢愛子ほか執筆].-- 岩波書店; 2006.5.-- (岩波講座アジア・太平洋戦争 / 倉沢愛子 [ほか] 編集委員 ; 7)."</f>
        <v>支配と暴力 / [倉沢愛子ほか執筆].-- 岩波書店; 2006.5.-- (岩波講座アジア・太平洋戦争 / 倉沢愛子 [ほか] 編集委員 ; 7).</v>
      </c>
      <c r="E624" s="5" t="str">
        <f>""</f>
        <v/>
      </c>
      <c r="F624" s="26"/>
      <c r="G624" s="27" t="str">
        <f>"210.75/ｸﾗ/7"</f>
        <v>210.75/ｸﾗ/7</v>
      </c>
      <c r="H624" s="4" t="str">
        <f t="shared" si="34"/>
        <v>2013/02/28</v>
      </c>
      <c r="I624" s="6">
        <v>4000</v>
      </c>
      <c r="J624" s="6">
        <v>100</v>
      </c>
      <c r="K624" s="4" t="str">
        <f t="shared" si="32"/>
        <v>1  和書</v>
      </c>
      <c r="L624" s="7"/>
    </row>
    <row r="625" spans="1:12" ht="36" x14ac:dyDescent="0.15">
      <c r="A625" s="36">
        <v>624</v>
      </c>
      <c r="B625" s="3" t="s">
        <v>34</v>
      </c>
      <c r="C625" s="4" t="str">
        <f>"9100019790"</f>
        <v>9100019790</v>
      </c>
      <c r="D625" s="5" t="str">
        <f>"20世紀の中のアジア・太平洋戦争 / [油井大三郎ほか執筆].-- 岩波書店; 2006.6.-- (岩波講座アジア・太平洋戦争 / 倉沢愛子 [ほか] 編集委員 ; 8)."</f>
        <v>20世紀の中のアジア・太平洋戦争 / [油井大三郎ほか執筆].-- 岩波書店; 2006.6.-- (岩波講座アジア・太平洋戦争 / 倉沢愛子 [ほか] 編集委員 ; 8).</v>
      </c>
      <c r="E625" s="5" t="str">
        <f>""</f>
        <v/>
      </c>
      <c r="F625" s="26"/>
      <c r="G625" s="27" t="str">
        <f>"210.75/ｸﾗ/8"</f>
        <v>210.75/ｸﾗ/8</v>
      </c>
      <c r="H625" s="4" t="str">
        <f t="shared" si="34"/>
        <v>2013/02/28</v>
      </c>
      <c r="I625" s="6">
        <v>4000</v>
      </c>
      <c r="J625" s="6">
        <v>100</v>
      </c>
      <c r="K625" s="4" t="str">
        <f t="shared" si="32"/>
        <v>1  和書</v>
      </c>
      <c r="L625" s="7"/>
    </row>
    <row r="626" spans="1:12" ht="24" x14ac:dyDescent="0.15">
      <c r="A626" s="36">
        <v>625</v>
      </c>
      <c r="B626" s="3" t="s">
        <v>34</v>
      </c>
      <c r="C626" s="4" t="str">
        <f>"0000847452"</f>
        <v>0000847452</v>
      </c>
      <c r="D626" s="5" t="str">
        <f>"戦後史大事典 = Encyclopedia of postwar Japan 1945-1994 / 佐々木毅 [ほか] 編.-- 増補縮刷版.-- 三省堂; 1995.6."</f>
        <v>戦後史大事典 = Encyclopedia of postwar Japan 1945-1994 / 佐々木毅 [ほか] 編.-- 増補縮刷版.-- 三省堂; 1995.6.</v>
      </c>
      <c r="E626" s="5" t="str">
        <f>""</f>
        <v/>
      </c>
      <c r="F626" s="26"/>
      <c r="G626" s="27" t="str">
        <f>"R210.76/ｻｻ"</f>
        <v>R210.76/ｻｻ</v>
      </c>
      <c r="H626" s="4" t="str">
        <f>"1995/06/06"</f>
        <v>1995/06/06</v>
      </c>
      <c r="I626" s="6">
        <v>5220</v>
      </c>
      <c r="J626" s="6">
        <v>100</v>
      </c>
      <c r="K626" s="4" t="str">
        <f t="shared" si="32"/>
        <v>1  和書</v>
      </c>
      <c r="L626" s="7"/>
    </row>
    <row r="627" spans="1:12" ht="24" x14ac:dyDescent="0.15">
      <c r="A627" s="36">
        <v>626</v>
      </c>
      <c r="B627" s="3" t="s">
        <v>34</v>
      </c>
      <c r="C627" s="10" t="str">
        <f>"0001314052"</f>
        <v>0001314052</v>
      </c>
      <c r="D627" s="11" t="str">
        <f>"戦後民主主義 / 中村政則 [ほか] 編.-- 岩波書店; 1995.11.-- (戦後日本 : 占領と戦後改革 / 中村政則 [ほか] 編 ; 第4巻)."</f>
        <v>戦後民主主義 / 中村政則 [ほか] 編.-- 岩波書店; 1995.11.-- (戦後日本 : 占領と戦後改革 / 中村政則 [ほか] 編 ; 第4巻).</v>
      </c>
      <c r="E627" s="11" t="str">
        <f>""</f>
        <v/>
      </c>
      <c r="F627" s="28" t="s">
        <v>8</v>
      </c>
      <c r="G627" s="29" t="str">
        <f>"210.76/ﾅｶ/4"</f>
        <v>210.76/ﾅｶ/4</v>
      </c>
      <c r="H627" s="10" t="str">
        <f>"1996/04/17"</f>
        <v>1996/04/17</v>
      </c>
      <c r="I627" s="12">
        <v>2520</v>
      </c>
      <c r="J627" s="12">
        <v>100</v>
      </c>
      <c r="K627" s="10" t="str">
        <f t="shared" si="32"/>
        <v>1  和書</v>
      </c>
      <c r="L627" s="13"/>
    </row>
    <row r="628" spans="1:12" ht="24" x14ac:dyDescent="0.15">
      <c r="A628" s="36">
        <v>627</v>
      </c>
      <c r="B628" s="3" t="s">
        <v>34</v>
      </c>
      <c r="C628" s="4" t="str">
        <f>"0002919348"</f>
        <v>0002919348</v>
      </c>
      <c r="D628" s="5" t="str">
        <f>"史蹟郷土史 / 後藤陽一監修.-- 講談社; 1980.9.-- (広島 / 講談社出版研究所編集)."</f>
        <v>史蹟郷土史 / 後藤陽一監修.-- 講談社; 1980.9.-- (広島 / 講談社出版研究所編集).</v>
      </c>
      <c r="E628" s="5" t="str">
        <f>""</f>
        <v/>
      </c>
      <c r="F628" s="26"/>
      <c r="G628" s="27" t="str">
        <f>"217.6/ﾋﾛ"</f>
        <v>217.6/ﾋﾛ</v>
      </c>
      <c r="H628" s="4" t="str">
        <f>"2007/09/26"</f>
        <v>2007/09/26</v>
      </c>
      <c r="I628" s="6">
        <v>2000</v>
      </c>
      <c r="J628" s="6">
        <v>100</v>
      </c>
      <c r="K628" s="4" t="str">
        <f t="shared" si="32"/>
        <v>1  和書</v>
      </c>
      <c r="L628" s="7"/>
    </row>
    <row r="629" spans="1:12" ht="24" x14ac:dyDescent="0.15">
      <c r="A629" s="36">
        <v>628</v>
      </c>
      <c r="B629" s="3" t="s">
        <v>34</v>
      </c>
      <c r="C629" s="10" t="str">
        <f>"9100013323"</f>
        <v>9100013323</v>
      </c>
      <c r="D629" s="11" t="str">
        <f>"広島新史 / 広島市編 ; 年表編 - 資料編4 統計編.-- 広島市; 1981.3-1986.3."</f>
        <v>広島新史 / 広島市編 ; 年表編 - 資料編4 統計編.-- 広島市; 1981.3-1986.3.</v>
      </c>
      <c r="E629" s="11" t="str">
        <f>"資料編1 都築資料"</f>
        <v>資料編1 都築資料</v>
      </c>
      <c r="F629" s="28" t="s">
        <v>8</v>
      </c>
      <c r="G629" s="29" t="str">
        <f>"217.6/ﾋﾛ/10"</f>
        <v>217.6/ﾋﾛ/10</v>
      </c>
      <c r="H629" s="10" t="str">
        <f>"2011/07/27"</f>
        <v>2011/07/27</v>
      </c>
      <c r="I629" s="12">
        <v>1000</v>
      </c>
      <c r="J629" s="12">
        <v>100</v>
      </c>
      <c r="K629" s="10" t="str">
        <f t="shared" si="32"/>
        <v>1  和書</v>
      </c>
      <c r="L629" s="13"/>
    </row>
    <row r="630" spans="1:12" x14ac:dyDescent="0.15">
      <c r="A630" s="36">
        <v>629</v>
      </c>
      <c r="B630" s="3" t="s">
        <v>34</v>
      </c>
      <c r="C630" s="4" t="str">
        <f>"0003908518"</f>
        <v>0003908518</v>
      </c>
      <c r="D630" s="5" t="str">
        <f>"広島県史 / 広島県編 ; 地誌編 - 別編 2:索引.-- 広島県; 1972-1984."</f>
        <v>広島県史 / 広島県編 ; 地誌編 - 別編 2:索引.-- 広島県; 1972-1984.</v>
      </c>
      <c r="E630" s="5" t="str">
        <f>"考古編"</f>
        <v>考古編</v>
      </c>
      <c r="F630" s="26"/>
      <c r="G630" s="27" t="str">
        <f>"217.6/ﾋﾛ/1"</f>
        <v>217.6/ﾋﾛ/1</v>
      </c>
      <c r="H630" s="4" t="str">
        <f>"2007/06/06"</f>
        <v>2007/06/06</v>
      </c>
      <c r="I630" s="6">
        <v>1</v>
      </c>
      <c r="J630" s="6">
        <v>100</v>
      </c>
      <c r="K630" s="4" t="str">
        <f t="shared" si="32"/>
        <v>1  和書</v>
      </c>
      <c r="L630" s="7" t="s">
        <v>19</v>
      </c>
    </row>
    <row r="631" spans="1:12" ht="24" x14ac:dyDescent="0.15">
      <c r="A631" s="36">
        <v>630</v>
      </c>
      <c r="B631" s="3" t="s">
        <v>34</v>
      </c>
      <c r="C631" s="4" t="str">
        <f>"0003908624"</f>
        <v>0003908624</v>
      </c>
      <c r="D631" s="5" t="str">
        <f t="shared" ref="D631:D655" si="35">"広島県史 / 広島県編 ; 地誌編 - 別編 2:索引.-- 広島県; 1972-1984."</f>
        <v>広島県史 / 広島県編 ; 地誌編 - 別編 2:索引.-- 広島県; 1972-1984.</v>
      </c>
      <c r="E631" s="5" t="str">
        <f>"通史 1:原始・古代"</f>
        <v>通史 1:原始・古代</v>
      </c>
      <c r="F631" s="26"/>
      <c r="G631" s="27" t="str">
        <f>"217.6/ﾋﾛ/2"</f>
        <v>217.6/ﾋﾛ/2</v>
      </c>
      <c r="H631" s="4" t="str">
        <f>"2007/06/06"</f>
        <v>2007/06/06</v>
      </c>
      <c r="I631" s="6">
        <v>1</v>
      </c>
      <c r="J631" s="6">
        <v>100</v>
      </c>
      <c r="K631" s="4" t="str">
        <f t="shared" si="32"/>
        <v>1  和書</v>
      </c>
      <c r="L631" s="7" t="s">
        <v>19</v>
      </c>
    </row>
    <row r="632" spans="1:12" ht="24" x14ac:dyDescent="0.15">
      <c r="A632" s="36">
        <v>631</v>
      </c>
      <c r="B632" s="3" t="s">
        <v>34</v>
      </c>
      <c r="C632" s="4" t="str">
        <f>"0003908617"</f>
        <v>0003908617</v>
      </c>
      <c r="D632" s="5" t="str">
        <f t="shared" si="35"/>
        <v>広島県史 / 広島県編 ; 地誌編 - 別編 2:索引.-- 広島県; 1972-1984.</v>
      </c>
      <c r="E632" s="5" t="str">
        <f>"通史 2:中世"</f>
        <v>通史 2:中世</v>
      </c>
      <c r="F632" s="26"/>
      <c r="G632" s="27" t="str">
        <f>"217.6/ﾋﾛ/3"</f>
        <v>217.6/ﾋﾛ/3</v>
      </c>
      <c r="H632" s="4" t="str">
        <f t="shared" ref="H632:H655" si="36">"2007/06/06"</f>
        <v>2007/06/06</v>
      </c>
      <c r="I632" s="6">
        <v>1</v>
      </c>
      <c r="J632" s="6">
        <v>100</v>
      </c>
      <c r="K632" s="4" t="str">
        <f t="shared" si="32"/>
        <v>1  和書</v>
      </c>
      <c r="L632" s="7" t="s">
        <v>19</v>
      </c>
    </row>
    <row r="633" spans="1:12" ht="24" x14ac:dyDescent="0.15">
      <c r="A633" s="36">
        <v>632</v>
      </c>
      <c r="B633" s="3" t="s">
        <v>34</v>
      </c>
      <c r="C633" s="4" t="str">
        <f>"0003908600"</f>
        <v>0003908600</v>
      </c>
      <c r="D633" s="5" t="str">
        <f t="shared" si="35"/>
        <v>広島県史 / 広島県編 ; 地誌編 - 別編 2:索引.-- 広島県; 1972-1984.</v>
      </c>
      <c r="E633" s="5" t="str">
        <f>"古代中世資料編 1"</f>
        <v>古代中世資料編 1</v>
      </c>
      <c r="F633" s="26"/>
      <c r="G633" s="27" t="str">
        <f>"217.6/ﾋﾛ/4"</f>
        <v>217.6/ﾋﾛ/4</v>
      </c>
      <c r="H633" s="4" t="str">
        <f t="shared" si="36"/>
        <v>2007/06/06</v>
      </c>
      <c r="I633" s="6">
        <v>1</v>
      </c>
      <c r="J633" s="6">
        <v>100</v>
      </c>
      <c r="K633" s="4" t="str">
        <f t="shared" si="32"/>
        <v>1  和書</v>
      </c>
      <c r="L633" s="7" t="s">
        <v>19</v>
      </c>
    </row>
    <row r="634" spans="1:12" ht="24" x14ac:dyDescent="0.15">
      <c r="A634" s="36">
        <v>633</v>
      </c>
      <c r="B634" s="3" t="s">
        <v>34</v>
      </c>
      <c r="C634" s="4" t="str">
        <f>"0003908594"</f>
        <v>0003908594</v>
      </c>
      <c r="D634" s="5" t="str">
        <f t="shared" si="35"/>
        <v>広島県史 / 広島県編 ; 地誌編 - 別編 2:索引.-- 広島県; 1972-1984.</v>
      </c>
      <c r="E634" s="5" t="str">
        <f>"古代中世資料編 2"</f>
        <v>古代中世資料編 2</v>
      </c>
      <c r="F634" s="26"/>
      <c r="G634" s="27" t="str">
        <f>"217.6/ﾋﾛ/5"</f>
        <v>217.6/ﾋﾛ/5</v>
      </c>
      <c r="H634" s="4" t="str">
        <f t="shared" si="36"/>
        <v>2007/06/06</v>
      </c>
      <c r="I634" s="6">
        <v>1</v>
      </c>
      <c r="J634" s="6">
        <v>100</v>
      </c>
      <c r="K634" s="4" t="str">
        <f t="shared" si="32"/>
        <v>1  和書</v>
      </c>
      <c r="L634" s="7" t="s">
        <v>19</v>
      </c>
    </row>
    <row r="635" spans="1:12" ht="24" x14ac:dyDescent="0.15">
      <c r="A635" s="36">
        <v>634</v>
      </c>
      <c r="B635" s="3" t="s">
        <v>34</v>
      </c>
      <c r="C635" s="4" t="str">
        <f>"0003908556"</f>
        <v>0003908556</v>
      </c>
      <c r="D635" s="5" t="str">
        <f t="shared" si="35"/>
        <v>広島県史 / 広島県編 ; 地誌編 - 別編 2:索引.-- 広島県; 1972-1984.</v>
      </c>
      <c r="E635" s="5" t="str">
        <f>"古代中世資料編 3"</f>
        <v>古代中世資料編 3</v>
      </c>
      <c r="F635" s="26"/>
      <c r="G635" s="27" t="str">
        <f>"217.6/ﾋﾛ/6"</f>
        <v>217.6/ﾋﾛ/6</v>
      </c>
      <c r="H635" s="4" t="str">
        <f t="shared" si="36"/>
        <v>2007/06/06</v>
      </c>
      <c r="I635" s="6">
        <v>1</v>
      </c>
      <c r="J635" s="6">
        <v>100</v>
      </c>
      <c r="K635" s="4" t="str">
        <f t="shared" si="32"/>
        <v>1  和書</v>
      </c>
      <c r="L635" s="7" t="s">
        <v>19</v>
      </c>
    </row>
    <row r="636" spans="1:12" ht="24" x14ac:dyDescent="0.15">
      <c r="A636" s="36">
        <v>635</v>
      </c>
      <c r="B636" s="3" t="s">
        <v>34</v>
      </c>
      <c r="C636" s="4" t="str">
        <f>"0003908488"</f>
        <v>0003908488</v>
      </c>
      <c r="D636" s="5" t="str">
        <f t="shared" si="35"/>
        <v>広島県史 / 広島県編 ; 地誌編 - 別編 2:索引.-- 広島県; 1972-1984.</v>
      </c>
      <c r="E636" s="5" t="str">
        <f>"古代中世資料編 4"</f>
        <v>古代中世資料編 4</v>
      </c>
      <c r="F636" s="26"/>
      <c r="G636" s="27" t="str">
        <f>"217.6/ﾋﾛ/7"</f>
        <v>217.6/ﾋﾛ/7</v>
      </c>
      <c r="H636" s="4" t="str">
        <f t="shared" si="36"/>
        <v>2007/06/06</v>
      </c>
      <c r="I636" s="6">
        <v>1</v>
      </c>
      <c r="J636" s="6">
        <v>100</v>
      </c>
      <c r="K636" s="4" t="str">
        <f t="shared" si="32"/>
        <v>1  和書</v>
      </c>
      <c r="L636" s="7" t="s">
        <v>19</v>
      </c>
    </row>
    <row r="637" spans="1:12" ht="24" x14ac:dyDescent="0.15">
      <c r="A637" s="36">
        <v>636</v>
      </c>
      <c r="B637" s="3" t="s">
        <v>34</v>
      </c>
      <c r="C637" s="4" t="str">
        <f>"0003908532"</f>
        <v>0003908532</v>
      </c>
      <c r="D637" s="5" t="str">
        <f t="shared" si="35"/>
        <v>広島県史 / 広島県編 ; 地誌編 - 別編 2:索引.-- 広島県; 1972-1984.</v>
      </c>
      <c r="E637" s="5" t="str">
        <f>"古代中世資料編 5"</f>
        <v>古代中世資料編 5</v>
      </c>
      <c r="F637" s="26"/>
      <c r="G637" s="27" t="str">
        <f>"217.6/ﾋﾛ/8"</f>
        <v>217.6/ﾋﾛ/8</v>
      </c>
      <c r="H637" s="4" t="str">
        <f t="shared" si="36"/>
        <v>2007/06/06</v>
      </c>
      <c r="I637" s="6">
        <v>1</v>
      </c>
      <c r="J637" s="6">
        <v>100</v>
      </c>
      <c r="K637" s="4" t="str">
        <f t="shared" si="32"/>
        <v>1  和書</v>
      </c>
      <c r="L637" s="7" t="s">
        <v>19</v>
      </c>
    </row>
    <row r="638" spans="1:12" ht="24" x14ac:dyDescent="0.15">
      <c r="A638" s="36">
        <v>637</v>
      </c>
      <c r="B638" s="3" t="s">
        <v>34</v>
      </c>
      <c r="C638" s="4" t="str">
        <f>"0003908495"</f>
        <v>0003908495</v>
      </c>
      <c r="D638" s="5" t="str">
        <f>"広島県史 / 広島県編 ; 地誌編 - 別編 2:索引.-- 広島県; 1972-1984."</f>
        <v>広島県史 / 広島県編 ; 地誌編 - 別編 2:索引.-- 広島県; 1972-1984.</v>
      </c>
      <c r="E638" s="5" t="str">
        <f>"通史 4:近世 2"</f>
        <v>通史 4:近世 2</v>
      </c>
      <c r="F638" s="26"/>
      <c r="G638" s="27" t="str">
        <f>"217.6/ﾋﾛ/10"</f>
        <v>217.6/ﾋﾛ/10</v>
      </c>
      <c r="H638" s="4" t="str">
        <f>"2007/06/06"</f>
        <v>2007/06/06</v>
      </c>
      <c r="I638" s="6">
        <v>1</v>
      </c>
      <c r="J638" s="6">
        <v>100</v>
      </c>
      <c r="K638" s="4" t="str">
        <f t="shared" si="32"/>
        <v>1  和書</v>
      </c>
      <c r="L638" s="7" t="s">
        <v>19</v>
      </c>
    </row>
    <row r="639" spans="1:12" ht="24" x14ac:dyDescent="0.15">
      <c r="A639" s="36">
        <v>638</v>
      </c>
      <c r="B639" s="3" t="s">
        <v>34</v>
      </c>
      <c r="C639" s="4" t="str">
        <f>"0003908433"</f>
        <v>0003908433</v>
      </c>
      <c r="D639" s="5" t="str">
        <f t="shared" si="35"/>
        <v>広島県史 / 広島県編 ; 地誌編 - 別編 2:索引.-- 広島県; 1972-1984.</v>
      </c>
      <c r="E639" s="5" t="str">
        <f>"近世資料編 1"</f>
        <v>近世資料編 1</v>
      </c>
      <c r="F639" s="26"/>
      <c r="G639" s="27" t="str">
        <f>"217.6/ﾋﾛ/11"</f>
        <v>217.6/ﾋﾛ/11</v>
      </c>
      <c r="H639" s="4" t="str">
        <f t="shared" ref="H639:H646" si="37">"2007/06/06"</f>
        <v>2007/06/06</v>
      </c>
      <c r="I639" s="6">
        <v>1</v>
      </c>
      <c r="J639" s="6">
        <v>100</v>
      </c>
      <c r="K639" s="4" t="str">
        <f t="shared" si="32"/>
        <v>1  和書</v>
      </c>
      <c r="L639" s="7" t="s">
        <v>19</v>
      </c>
    </row>
    <row r="640" spans="1:12" ht="24" x14ac:dyDescent="0.15">
      <c r="A640" s="36">
        <v>639</v>
      </c>
      <c r="B640" s="3" t="s">
        <v>34</v>
      </c>
      <c r="C640" s="4" t="str">
        <f>"0003908587"</f>
        <v>0003908587</v>
      </c>
      <c r="D640" s="5" t="str">
        <f t="shared" si="35"/>
        <v>広島県史 / 広島県編 ; 地誌編 - 別編 2:索引.-- 広島県; 1972-1984.</v>
      </c>
      <c r="E640" s="5" t="str">
        <f>"近世資料編 2"</f>
        <v>近世資料編 2</v>
      </c>
      <c r="F640" s="26"/>
      <c r="G640" s="27" t="str">
        <f>"217.6/ﾋﾛ/12"</f>
        <v>217.6/ﾋﾛ/12</v>
      </c>
      <c r="H640" s="4" t="str">
        <f t="shared" si="37"/>
        <v>2007/06/06</v>
      </c>
      <c r="I640" s="6">
        <v>1</v>
      </c>
      <c r="J640" s="6">
        <v>100</v>
      </c>
      <c r="K640" s="4" t="str">
        <f t="shared" si="32"/>
        <v>1  和書</v>
      </c>
      <c r="L640" s="7" t="s">
        <v>19</v>
      </c>
    </row>
    <row r="641" spans="1:12" ht="24" x14ac:dyDescent="0.15">
      <c r="A641" s="36">
        <v>640</v>
      </c>
      <c r="B641" s="3" t="s">
        <v>34</v>
      </c>
      <c r="C641" s="4" t="str">
        <f>"0003908440"</f>
        <v>0003908440</v>
      </c>
      <c r="D641" s="5" t="str">
        <f t="shared" si="35"/>
        <v>広島県史 / 広島県編 ; 地誌編 - 別編 2:索引.-- 広島県; 1972-1984.</v>
      </c>
      <c r="E641" s="5" t="str">
        <f>"近世資料編 3"</f>
        <v>近世資料編 3</v>
      </c>
      <c r="F641" s="26"/>
      <c r="G641" s="27" t="str">
        <f>"217.6/ﾋﾛ/13"</f>
        <v>217.6/ﾋﾛ/13</v>
      </c>
      <c r="H641" s="4" t="str">
        <f t="shared" si="37"/>
        <v>2007/06/06</v>
      </c>
      <c r="I641" s="6">
        <v>1</v>
      </c>
      <c r="J641" s="6">
        <v>100</v>
      </c>
      <c r="K641" s="4" t="str">
        <f t="shared" si="32"/>
        <v>1  和書</v>
      </c>
      <c r="L641" s="7" t="s">
        <v>19</v>
      </c>
    </row>
    <row r="642" spans="1:12" ht="24" x14ac:dyDescent="0.15">
      <c r="A642" s="36">
        <v>641</v>
      </c>
      <c r="B642" s="3" t="s">
        <v>34</v>
      </c>
      <c r="C642" s="4" t="str">
        <f>"0003908471"</f>
        <v>0003908471</v>
      </c>
      <c r="D642" s="5" t="str">
        <f t="shared" si="35"/>
        <v>広島県史 / 広島県編 ; 地誌編 - 別編 2:索引.-- 広島県; 1972-1984.</v>
      </c>
      <c r="E642" s="5" t="str">
        <f>"近世資料編 4"</f>
        <v>近世資料編 4</v>
      </c>
      <c r="F642" s="26"/>
      <c r="G642" s="27" t="str">
        <f>"217.6/ﾋﾛ/14"</f>
        <v>217.6/ﾋﾛ/14</v>
      </c>
      <c r="H642" s="4" t="str">
        <f t="shared" si="37"/>
        <v>2007/06/06</v>
      </c>
      <c r="I642" s="6">
        <v>1</v>
      </c>
      <c r="J642" s="6">
        <v>100</v>
      </c>
      <c r="K642" s="4" t="str">
        <f t="shared" si="32"/>
        <v>1  和書</v>
      </c>
      <c r="L642" s="7" t="s">
        <v>19</v>
      </c>
    </row>
    <row r="643" spans="1:12" ht="24" x14ac:dyDescent="0.15">
      <c r="A643" s="36">
        <v>642</v>
      </c>
      <c r="B643" s="3" t="s">
        <v>34</v>
      </c>
      <c r="C643" s="4" t="str">
        <f>"0003908457"</f>
        <v>0003908457</v>
      </c>
      <c r="D643" s="5" t="str">
        <f t="shared" si="35"/>
        <v>広島県史 / 広島県編 ; 地誌編 - 別編 2:索引.-- 広島県; 1972-1984.</v>
      </c>
      <c r="E643" s="5" t="str">
        <f>"近世資料編 5"</f>
        <v>近世資料編 5</v>
      </c>
      <c r="F643" s="26"/>
      <c r="G643" s="27" t="str">
        <f>"217.6/ﾋﾛ/15"</f>
        <v>217.6/ﾋﾛ/15</v>
      </c>
      <c r="H643" s="4" t="str">
        <f t="shared" si="37"/>
        <v>2007/06/06</v>
      </c>
      <c r="I643" s="6">
        <v>1</v>
      </c>
      <c r="J643" s="6">
        <v>100</v>
      </c>
      <c r="K643" s="4" t="str">
        <f t="shared" si="32"/>
        <v>1  和書</v>
      </c>
      <c r="L643" s="7" t="s">
        <v>19</v>
      </c>
    </row>
    <row r="644" spans="1:12" ht="24" x14ac:dyDescent="0.15">
      <c r="A644" s="36">
        <v>643</v>
      </c>
      <c r="B644" s="3" t="s">
        <v>34</v>
      </c>
      <c r="C644" s="4" t="str">
        <f>"0003908426"</f>
        <v>0003908426</v>
      </c>
      <c r="D644" s="5" t="str">
        <f t="shared" si="35"/>
        <v>広島県史 / 広島県編 ; 地誌編 - 別編 2:索引.-- 広島県; 1972-1984.</v>
      </c>
      <c r="E644" s="5" t="str">
        <f>"近世資料編 6"</f>
        <v>近世資料編 6</v>
      </c>
      <c r="F644" s="26"/>
      <c r="G644" s="27" t="str">
        <f>"217.6/ﾋﾛ/16"</f>
        <v>217.6/ﾋﾛ/16</v>
      </c>
      <c r="H644" s="4" t="str">
        <f t="shared" si="37"/>
        <v>2007/06/06</v>
      </c>
      <c r="I644" s="6">
        <v>1</v>
      </c>
      <c r="J644" s="6">
        <v>100</v>
      </c>
      <c r="K644" s="4" t="str">
        <f t="shared" ref="K644:K707" si="38">"1  和書"</f>
        <v>1  和書</v>
      </c>
      <c r="L644" s="7" t="s">
        <v>19</v>
      </c>
    </row>
    <row r="645" spans="1:12" ht="24" x14ac:dyDescent="0.15">
      <c r="A645" s="36">
        <v>644</v>
      </c>
      <c r="B645" s="3" t="s">
        <v>34</v>
      </c>
      <c r="C645" s="4" t="str">
        <f>"0003908570"</f>
        <v>0003908570</v>
      </c>
      <c r="D645" s="5" t="str">
        <f t="shared" si="35"/>
        <v>広島県史 / 広島県編 ; 地誌編 - 別編 2:索引.-- 広島県; 1972-1984.</v>
      </c>
      <c r="E645" s="5" t="str">
        <f>"通史 5:近代 1"</f>
        <v>通史 5:近代 1</v>
      </c>
      <c r="F645" s="26"/>
      <c r="G645" s="27" t="str">
        <f>"217.6/ﾋﾛ/17"</f>
        <v>217.6/ﾋﾛ/17</v>
      </c>
      <c r="H645" s="4" t="str">
        <f t="shared" si="37"/>
        <v>2007/06/06</v>
      </c>
      <c r="I645" s="6">
        <v>1</v>
      </c>
      <c r="J645" s="6">
        <v>100</v>
      </c>
      <c r="K645" s="4" t="str">
        <f t="shared" si="38"/>
        <v>1  和書</v>
      </c>
      <c r="L645" s="7" t="s">
        <v>19</v>
      </c>
    </row>
    <row r="646" spans="1:12" ht="24" x14ac:dyDescent="0.15">
      <c r="A646" s="36">
        <v>645</v>
      </c>
      <c r="B646" s="3" t="s">
        <v>34</v>
      </c>
      <c r="C646" s="4" t="str">
        <f>"0003908563"</f>
        <v>0003908563</v>
      </c>
      <c r="D646" s="5" t="str">
        <f t="shared" si="35"/>
        <v>広島県史 / 広島県編 ; 地誌編 - 別編 2:索引.-- 広島県; 1972-1984.</v>
      </c>
      <c r="E646" s="5" t="str">
        <f>"通史 6:近代 2"</f>
        <v>通史 6:近代 2</v>
      </c>
      <c r="F646" s="26"/>
      <c r="G646" s="27" t="str">
        <f>"217.6/ﾋﾛ/18"</f>
        <v>217.6/ﾋﾛ/18</v>
      </c>
      <c r="H646" s="4" t="str">
        <f t="shared" si="37"/>
        <v>2007/06/06</v>
      </c>
      <c r="I646" s="6">
        <v>1</v>
      </c>
      <c r="J646" s="6">
        <v>100</v>
      </c>
      <c r="K646" s="4" t="str">
        <f t="shared" si="38"/>
        <v>1  和書</v>
      </c>
      <c r="L646" s="7" t="s">
        <v>19</v>
      </c>
    </row>
    <row r="647" spans="1:12" ht="24" x14ac:dyDescent="0.15">
      <c r="A647" s="36">
        <v>646</v>
      </c>
      <c r="B647" s="3" t="s">
        <v>34</v>
      </c>
      <c r="C647" s="4" t="str">
        <f>"9100014047"</f>
        <v>9100014047</v>
      </c>
      <c r="D647" s="5" t="str">
        <f t="shared" si="35"/>
        <v>広島県史 / 広島県編 ; 地誌編 - 別編 2:索引.-- 広島県; 1972-1984.</v>
      </c>
      <c r="E647" s="5" t="str">
        <f>"通史 7:現代"</f>
        <v>通史 7:現代</v>
      </c>
      <c r="F647" s="26"/>
      <c r="G647" s="27" t="str">
        <f>"217.6/ﾋﾛ/19"</f>
        <v>217.6/ﾋﾛ/19</v>
      </c>
      <c r="H647" s="4" t="str">
        <f>"2011/04/01"</f>
        <v>2011/04/01</v>
      </c>
      <c r="I647" s="6">
        <v>1</v>
      </c>
      <c r="J647" s="6">
        <v>100</v>
      </c>
      <c r="K647" s="4" t="str">
        <f t="shared" si="38"/>
        <v>1  和書</v>
      </c>
      <c r="L647" s="7" t="s">
        <v>19</v>
      </c>
    </row>
    <row r="648" spans="1:12" ht="24" x14ac:dyDescent="0.15">
      <c r="A648" s="36">
        <v>647</v>
      </c>
      <c r="B648" s="3" t="s">
        <v>34</v>
      </c>
      <c r="C648" s="4" t="str">
        <f>"9100014078"</f>
        <v>9100014078</v>
      </c>
      <c r="D648" s="5" t="str">
        <f>"広島県史 / 広島県編 ; 原爆資料編 - 古代中世資料編 2.-- 復刻.-- [広島県]; 1987-."</f>
        <v>広島県史 / 広島県編 ; 原爆資料編 - 古代中世資料編 2.-- 復刻.-- [広島県]; 1987-.</v>
      </c>
      <c r="E648" s="5" t="str">
        <f>"近代現代資料編 1"</f>
        <v>近代現代資料編 1</v>
      </c>
      <c r="F648" s="26"/>
      <c r="G648" s="27" t="str">
        <f>"217.6/ﾋﾛ/20"</f>
        <v>217.6/ﾋﾛ/20</v>
      </c>
      <c r="H648" s="4" t="str">
        <f>"2011/04/01"</f>
        <v>2011/04/01</v>
      </c>
      <c r="I648" s="6">
        <v>1</v>
      </c>
      <c r="J648" s="6">
        <v>100</v>
      </c>
      <c r="K648" s="4" t="str">
        <f t="shared" si="38"/>
        <v>1  和書</v>
      </c>
      <c r="L648" s="7" t="s">
        <v>19</v>
      </c>
    </row>
    <row r="649" spans="1:12" ht="24" x14ac:dyDescent="0.15">
      <c r="A649" s="36">
        <v>648</v>
      </c>
      <c r="B649" s="3" t="s">
        <v>34</v>
      </c>
      <c r="C649" s="4" t="str">
        <f>"9100014061"</f>
        <v>9100014061</v>
      </c>
      <c r="D649" s="5" t="str">
        <f t="shared" si="35"/>
        <v>広島県史 / 広島県編 ; 地誌編 - 別編 2:索引.-- 広島県; 1972-1984.</v>
      </c>
      <c r="E649" s="5" t="str">
        <f>"近代現代資料編 2"</f>
        <v>近代現代資料編 2</v>
      </c>
      <c r="F649" s="26"/>
      <c r="G649" s="27" t="str">
        <f>"217.6/ﾋﾛ/21"</f>
        <v>217.6/ﾋﾛ/21</v>
      </c>
      <c r="H649" s="4" t="str">
        <f>"2011/04/01"</f>
        <v>2011/04/01</v>
      </c>
      <c r="I649" s="6">
        <v>1</v>
      </c>
      <c r="J649" s="6">
        <v>100</v>
      </c>
      <c r="K649" s="4" t="str">
        <f t="shared" si="38"/>
        <v>1  和書</v>
      </c>
      <c r="L649" s="7" t="s">
        <v>19</v>
      </c>
    </row>
    <row r="650" spans="1:12" ht="24" x14ac:dyDescent="0.15">
      <c r="A650" s="36">
        <v>649</v>
      </c>
      <c r="B650" s="3" t="s">
        <v>34</v>
      </c>
      <c r="C650" s="4" t="str">
        <f>"9100014054"</f>
        <v>9100014054</v>
      </c>
      <c r="D650" s="5" t="str">
        <f t="shared" si="35"/>
        <v>広島県史 / 広島県編 ; 地誌編 - 別編 2:索引.-- 広島県; 1972-1984.</v>
      </c>
      <c r="E650" s="5" t="str">
        <f>"近代現代資料編 3"</f>
        <v>近代現代資料編 3</v>
      </c>
      <c r="F650" s="26"/>
      <c r="G650" s="27" t="str">
        <f>"217.6/ﾋﾛ/22"</f>
        <v>217.6/ﾋﾛ/22</v>
      </c>
      <c r="H650" s="4" t="str">
        <f>"2011/04/01"</f>
        <v>2011/04/01</v>
      </c>
      <c r="I650" s="6">
        <v>1</v>
      </c>
      <c r="J650" s="6">
        <v>100</v>
      </c>
      <c r="K650" s="4" t="str">
        <f t="shared" si="38"/>
        <v>1  和書</v>
      </c>
      <c r="L650" s="7" t="s">
        <v>19</v>
      </c>
    </row>
    <row r="651" spans="1:12" x14ac:dyDescent="0.15">
      <c r="A651" s="36">
        <v>650</v>
      </c>
      <c r="B651" s="3" t="s">
        <v>34</v>
      </c>
      <c r="C651" s="4" t="str">
        <f>"0003908501"</f>
        <v>0003908501</v>
      </c>
      <c r="D651" s="5" t="str">
        <f t="shared" si="35"/>
        <v>広島県史 / 広島県編 ; 地誌編 - 別編 2:索引.-- 広島県; 1972-1984.</v>
      </c>
      <c r="E651" s="5" t="str">
        <f>"地誌編"</f>
        <v>地誌編</v>
      </c>
      <c r="F651" s="26"/>
      <c r="G651" s="27" t="str">
        <f>"217.6/ﾋﾛ/24"</f>
        <v>217.6/ﾋﾛ/24</v>
      </c>
      <c r="H651" s="4" t="str">
        <f t="shared" si="36"/>
        <v>2007/06/06</v>
      </c>
      <c r="I651" s="6">
        <v>1</v>
      </c>
      <c r="J651" s="6">
        <v>100</v>
      </c>
      <c r="K651" s="4" t="str">
        <f t="shared" si="38"/>
        <v>1  和書</v>
      </c>
      <c r="L651" s="7" t="s">
        <v>19</v>
      </c>
    </row>
    <row r="652" spans="1:12" x14ac:dyDescent="0.15">
      <c r="A652" s="36">
        <v>651</v>
      </c>
      <c r="B652" s="3" t="s">
        <v>34</v>
      </c>
      <c r="C652" s="4" t="str">
        <f>"0003908549"</f>
        <v>0003908549</v>
      </c>
      <c r="D652" s="5" t="str">
        <f t="shared" si="35"/>
        <v>広島県史 / 広島県編 ; 地誌編 - 別編 2:索引.-- 広島県; 1972-1984.</v>
      </c>
      <c r="E652" s="5" t="str">
        <f>"民俗編"</f>
        <v>民俗編</v>
      </c>
      <c r="F652" s="26"/>
      <c r="G652" s="27" t="str">
        <f>"217.6/ﾋﾛ/25"</f>
        <v>217.6/ﾋﾛ/25</v>
      </c>
      <c r="H652" s="4" t="str">
        <f t="shared" si="36"/>
        <v>2007/06/06</v>
      </c>
      <c r="I652" s="6">
        <v>1</v>
      </c>
      <c r="J652" s="6">
        <v>100</v>
      </c>
      <c r="K652" s="4" t="str">
        <f t="shared" si="38"/>
        <v>1  和書</v>
      </c>
      <c r="L652" s="7" t="s">
        <v>19</v>
      </c>
    </row>
    <row r="653" spans="1:12" ht="24" x14ac:dyDescent="0.15">
      <c r="A653" s="36">
        <v>652</v>
      </c>
      <c r="B653" s="3" t="s">
        <v>34</v>
      </c>
      <c r="C653" s="4" t="str">
        <f>"0003908525"</f>
        <v>0003908525</v>
      </c>
      <c r="D653" s="5" t="str">
        <f t="shared" si="35"/>
        <v>広島県史 / 広島県編 ; 地誌編 - 別編 2:索引.-- 広島県; 1972-1984.</v>
      </c>
      <c r="E653" s="5" t="str">
        <f>"別編 1:年表"</f>
        <v>別編 1:年表</v>
      </c>
      <c r="F653" s="26"/>
      <c r="G653" s="27" t="str">
        <f>"217.6/ﾋﾛ/26-1"</f>
        <v>217.6/ﾋﾛ/26-1</v>
      </c>
      <c r="H653" s="4" t="str">
        <f t="shared" si="36"/>
        <v>2007/06/06</v>
      </c>
      <c r="I653" s="6">
        <v>1</v>
      </c>
      <c r="J653" s="6">
        <v>100</v>
      </c>
      <c r="K653" s="4" t="str">
        <f t="shared" si="38"/>
        <v>1  和書</v>
      </c>
      <c r="L653" s="7" t="s">
        <v>19</v>
      </c>
    </row>
    <row r="654" spans="1:12" ht="24" x14ac:dyDescent="0.15">
      <c r="A654" s="36">
        <v>653</v>
      </c>
      <c r="B654" s="3" t="s">
        <v>34</v>
      </c>
      <c r="C654" s="4" t="str">
        <f>"0003908631"</f>
        <v>0003908631</v>
      </c>
      <c r="D654" s="5" t="str">
        <f t="shared" si="35"/>
        <v>広島県史 / 広島県編 ; 地誌編 - 別編 2:索引.-- 広島県; 1972-1984.</v>
      </c>
      <c r="E654" s="5" t="str">
        <f>"別編 2:索引"</f>
        <v>別編 2:索引</v>
      </c>
      <c r="F654" s="26"/>
      <c r="G654" s="27" t="str">
        <f>"217.6/ﾋﾛ/26-2"</f>
        <v>217.6/ﾋﾛ/26-2</v>
      </c>
      <c r="H654" s="4" t="str">
        <f t="shared" si="36"/>
        <v>2007/06/06</v>
      </c>
      <c r="I654" s="6">
        <v>1</v>
      </c>
      <c r="J654" s="6">
        <v>100</v>
      </c>
      <c r="K654" s="4" t="str">
        <f t="shared" si="38"/>
        <v>1  和書</v>
      </c>
      <c r="L654" s="7" t="s">
        <v>19</v>
      </c>
    </row>
    <row r="655" spans="1:12" x14ac:dyDescent="0.15">
      <c r="A655" s="36">
        <v>654</v>
      </c>
      <c r="B655" s="3" t="s">
        <v>34</v>
      </c>
      <c r="C655" s="4" t="str">
        <f>"0003908648"</f>
        <v>0003908648</v>
      </c>
      <c r="D655" s="5" t="str">
        <f t="shared" si="35"/>
        <v>広島県史 / 広島県編 ; 地誌編 - 別編 2:索引.-- 広島県; 1972-1984.</v>
      </c>
      <c r="E655" s="5" t="str">
        <f>"総説"</f>
        <v>総説</v>
      </c>
      <c r="F655" s="26"/>
      <c r="G655" s="27" t="str">
        <f>"217.6/ﾋﾛ/27"</f>
        <v>217.6/ﾋﾛ/27</v>
      </c>
      <c r="H655" s="4" t="str">
        <f t="shared" si="36"/>
        <v>2007/06/06</v>
      </c>
      <c r="I655" s="6">
        <v>1</v>
      </c>
      <c r="J655" s="6">
        <v>100</v>
      </c>
      <c r="K655" s="4" t="str">
        <f t="shared" si="38"/>
        <v>1  和書</v>
      </c>
      <c r="L655" s="7" t="s">
        <v>19</v>
      </c>
    </row>
    <row r="656" spans="1:12" x14ac:dyDescent="0.15">
      <c r="A656" s="36">
        <v>655</v>
      </c>
      <c r="B656" s="3" t="s">
        <v>34</v>
      </c>
      <c r="C656" s="10" t="str">
        <f>"0001942835"</f>
        <v>0001942835</v>
      </c>
      <c r="D656" s="11" t="str">
        <f>"争点・沖縄戦の記憶 / 石原昌家 [ほか] 著.-- 社会評論社; 2002.3."</f>
        <v>争点・沖縄戦の記憶 / 石原昌家 [ほか] 著.-- 社会評論社; 2002.3.</v>
      </c>
      <c r="E656" s="11" t="str">
        <f>""</f>
        <v/>
      </c>
      <c r="F656" s="28" t="s">
        <v>8</v>
      </c>
      <c r="G656" s="29" t="str">
        <f>"219.9/ｲｼ"</f>
        <v>219.9/ｲｼ</v>
      </c>
      <c r="H656" s="10" t="str">
        <f>"2002/08/23"</f>
        <v>2002/08/23</v>
      </c>
      <c r="I656" s="12">
        <v>2173</v>
      </c>
      <c r="J656" s="12">
        <v>100</v>
      </c>
      <c r="K656" s="10" t="str">
        <f t="shared" si="38"/>
        <v>1  和書</v>
      </c>
      <c r="L656" s="13"/>
    </row>
    <row r="657" spans="1:12" ht="22.5" x14ac:dyDescent="0.15">
      <c r="A657" s="36">
        <v>656</v>
      </c>
      <c r="B657" s="3" t="s">
        <v>35</v>
      </c>
      <c r="C657" s="4" t="str">
        <f>"0002463247"</f>
        <v>0002463247</v>
      </c>
      <c r="D657" s="5" t="str">
        <f>"ケルト事典 / ベルンハルト・マイヤー著 ; 平島直一郎訳.-- 創元社; 2001.9."</f>
        <v>ケルト事典 / ベルンハルト・マイヤー著 ; 平島直一郎訳.-- 創元社; 2001.9.</v>
      </c>
      <c r="E657" s="5" t="str">
        <f>""</f>
        <v/>
      </c>
      <c r="F657" s="26"/>
      <c r="G657" s="27" t="str">
        <f>"R230.3/ﾏｲ"</f>
        <v>R230.3/ﾏｲ</v>
      </c>
      <c r="H657" s="4" t="str">
        <f>"2001/09/25"</f>
        <v>2001/09/25</v>
      </c>
      <c r="I657" s="6">
        <v>3307</v>
      </c>
      <c r="J657" s="6">
        <v>100</v>
      </c>
      <c r="K657" s="4" t="str">
        <f t="shared" si="38"/>
        <v>1  和書</v>
      </c>
      <c r="L657" s="7"/>
    </row>
    <row r="658" spans="1:12" ht="22.5" x14ac:dyDescent="0.15">
      <c r="A658" s="36">
        <v>657</v>
      </c>
      <c r="B658" s="3" t="s">
        <v>35</v>
      </c>
      <c r="C658" s="4" t="str">
        <f>"0002481104"</f>
        <v>0002481104</v>
      </c>
      <c r="D658" s="5" t="str">
        <f>"ケルト事典 / ベルンハルト・マイヤー著 ; 平島直一郎訳.-- 創元社; 2001.9."</f>
        <v>ケルト事典 / ベルンハルト・マイヤー著 ; 平島直一郎訳.-- 創元社; 2001.9.</v>
      </c>
      <c r="E658" s="5" t="str">
        <f>""</f>
        <v/>
      </c>
      <c r="F658" s="26"/>
      <c r="G658" s="27" t="str">
        <f>"R230.3/ﾏｲ"</f>
        <v>R230.3/ﾏｲ</v>
      </c>
      <c r="H658" s="4" t="str">
        <f>"2002/02/25"</f>
        <v>2002/02/25</v>
      </c>
      <c r="I658" s="6">
        <v>3307</v>
      </c>
      <c r="J658" s="6">
        <v>100</v>
      </c>
      <c r="K658" s="4" t="str">
        <f t="shared" si="38"/>
        <v>1  和書</v>
      </c>
      <c r="L658" s="7"/>
    </row>
    <row r="659" spans="1:12" ht="24" x14ac:dyDescent="0.15">
      <c r="A659" s="36">
        <v>658</v>
      </c>
      <c r="B659" s="3" t="s">
        <v>35</v>
      </c>
      <c r="C659" s="4" t="str">
        <f>"0002804798"</f>
        <v>0002804798</v>
      </c>
      <c r="D659" s="5" t="str">
        <f>"ヴィクトリアン・サーヴァント : 階下の世界 / パメラ・ホーン著 ; 子安雅博訳.-- 英宝社; 2005.5."</f>
        <v>ヴィクトリアン・サーヴァント : 階下の世界 / パメラ・ホーン著 ; 子安雅博訳.-- 英宝社; 2005.5.</v>
      </c>
      <c r="E659" s="5" t="str">
        <f>""</f>
        <v/>
      </c>
      <c r="F659" s="26"/>
      <c r="G659" s="27" t="str">
        <f>"233.06/ﾎﾝ"</f>
        <v>233.06/ﾎﾝ</v>
      </c>
      <c r="H659" s="4" t="str">
        <f>"2005/09/02"</f>
        <v>2005/09/02</v>
      </c>
      <c r="I659" s="6">
        <v>2684</v>
      </c>
      <c r="J659" s="6">
        <v>100</v>
      </c>
      <c r="K659" s="4" t="str">
        <f t="shared" si="38"/>
        <v>1  和書</v>
      </c>
      <c r="L659" s="7"/>
    </row>
    <row r="660" spans="1:12" ht="24" x14ac:dyDescent="0.15">
      <c r="A660" s="36">
        <v>659</v>
      </c>
      <c r="B660" s="3" t="s">
        <v>35</v>
      </c>
      <c r="C660" s="4" t="str">
        <f>"0002009124"</f>
        <v>0002009124</v>
      </c>
      <c r="D660" s="5" t="str">
        <f>"IRA(アイルランド共和国軍) : アイルランドのナショナリズム / 鈴木良平著.-- 第4版増補.-- 彩流社; 1999.2."</f>
        <v>IRA(アイルランド共和国軍) : アイルランドのナショナリズム / 鈴木良平著.-- 第4版増補.-- 彩流社; 1999.2.</v>
      </c>
      <c r="E660" s="5" t="str">
        <f>""</f>
        <v/>
      </c>
      <c r="F660" s="26"/>
      <c r="G660" s="27" t="str">
        <f>"233.8/ｽｽﾞ"</f>
        <v>233.8/ｽｽﾞ</v>
      </c>
      <c r="H660" s="4" t="str">
        <f>"1999/03/31"</f>
        <v>1999/03/31</v>
      </c>
      <c r="I660" s="6">
        <v>2646</v>
      </c>
      <c r="J660" s="6">
        <v>100</v>
      </c>
      <c r="K660" s="4" t="str">
        <f t="shared" si="38"/>
        <v>1  和書</v>
      </c>
      <c r="L660" s="7"/>
    </row>
    <row r="661" spans="1:12" ht="24" x14ac:dyDescent="0.15">
      <c r="A661" s="36">
        <v>660</v>
      </c>
      <c r="B661" s="3" t="s">
        <v>35</v>
      </c>
      <c r="C661" s="4" t="str">
        <f>"0003622728"</f>
        <v>0003622728</v>
      </c>
      <c r="D661" s="5" t="str">
        <f>"アイルランド問題とは何か : イギリスとの闘争、そして和平へ / 鈴木良平著.-- 丸善; 2000.3.-- (丸善ライブラリー ; 315)."</f>
        <v>アイルランド問題とは何か : イギリスとの闘争、そして和平へ / 鈴木良平著.-- 丸善; 2000.3.-- (丸善ライブラリー ; 315).</v>
      </c>
      <c r="E661" s="5" t="str">
        <f>""</f>
        <v/>
      </c>
      <c r="F661" s="26"/>
      <c r="G661" s="27" t="str">
        <f>"233.9/ｽｽﾞ"</f>
        <v>233.9/ｽｽﾞ</v>
      </c>
      <c r="H661" s="4" t="str">
        <f>"2017/01/19"</f>
        <v>2017/01/19</v>
      </c>
      <c r="I661" s="6">
        <v>737</v>
      </c>
      <c r="J661" s="6">
        <v>100</v>
      </c>
      <c r="K661" s="4" t="str">
        <f t="shared" si="38"/>
        <v>1  和書</v>
      </c>
      <c r="L661" s="7"/>
    </row>
    <row r="662" spans="1:12" ht="24" x14ac:dyDescent="0.15">
      <c r="A662" s="36">
        <v>661</v>
      </c>
      <c r="B662" s="3" t="s">
        <v>35</v>
      </c>
      <c r="C662" s="4" t="str">
        <f>"0002104287"</f>
        <v>0002104287</v>
      </c>
      <c r="D662" s="5" t="str">
        <f>"アイルランドと日本 : 比較経済史的接近 / 松尾太郎著.-- 論創社; 1987.10."</f>
        <v>アイルランドと日本 : 比較経済史的接近 / 松尾太郎著.-- 論創社; 1987.10.</v>
      </c>
      <c r="E662" s="5" t="str">
        <f>""</f>
        <v/>
      </c>
      <c r="F662" s="26"/>
      <c r="G662" s="27" t="str">
        <f>"233.9/ﾏﾂ"</f>
        <v>233.9/ﾏﾂ</v>
      </c>
      <c r="H662" s="4" t="str">
        <f>"1999/05/27"</f>
        <v>1999/05/27</v>
      </c>
      <c r="I662" s="6">
        <v>3780</v>
      </c>
      <c r="J662" s="6">
        <v>100</v>
      </c>
      <c r="K662" s="4" t="str">
        <f t="shared" si="38"/>
        <v>1  和書</v>
      </c>
      <c r="L662" s="7"/>
    </row>
    <row r="663" spans="1:12" ht="22.5" x14ac:dyDescent="0.15">
      <c r="A663" s="36">
        <v>662</v>
      </c>
      <c r="B663" s="3" t="s">
        <v>35</v>
      </c>
      <c r="C663" s="4" t="str">
        <f>"0000861717"</f>
        <v>0000861717</v>
      </c>
      <c r="D663" s="5" t="str">
        <f>"アイルランド : 緑の国土と文学 / 水之江有一著.-- 研究社出版; 1994.11."</f>
        <v>アイルランド : 緑の国土と文学 / 水之江有一著.-- 研究社出版; 1994.11.</v>
      </c>
      <c r="E663" s="5" t="str">
        <f>""</f>
        <v/>
      </c>
      <c r="F663" s="26"/>
      <c r="G663" s="27" t="str">
        <f>"233.9/ﾐｽﾞ"</f>
        <v>233.9/ﾐｽﾞ</v>
      </c>
      <c r="H663" s="4" t="str">
        <f>"1995/07/20"</f>
        <v>1995/07/20</v>
      </c>
      <c r="I663" s="6">
        <v>6480</v>
      </c>
      <c r="J663" s="6">
        <v>100</v>
      </c>
      <c r="K663" s="4" t="str">
        <f t="shared" si="38"/>
        <v>1  和書</v>
      </c>
      <c r="L663" s="7"/>
    </row>
    <row r="664" spans="1:12" ht="24" x14ac:dyDescent="0.15">
      <c r="A664" s="36">
        <v>663</v>
      </c>
      <c r="B664" s="3" t="s">
        <v>36</v>
      </c>
      <c r="C664" s="4" t="str">
        <f>"0003525135"</f>
        <v>0003525135</v>
      </c>
      <c r="D664" s="5" t="str">
        <f>"大人のための偉人伝 / 木原武一著 ; [正], 続.-- 新潮社; 1989-1991.-- (新潮選書)."</f>
        <v>大人のための偉人伝 / 木原武一著 ; [正], 続.-- 新潮社; 1989-1991.-- (新潮選書).</v>
      </c>
      <c r="E664" s="5" t="str">
        <f>"続"</f>
        <v>続</v>
      </c>
      <c r="F664" s="26"/>
      <c r="G664" s="27" t="str">
        <f>"280.4/ｷﾊ/2"</f>
        <v>280.4/ｷﾊ/2</v>
      </c>
      <c r="H664" s="4" t="str">
        <f>"2016/11/28"</f>
        <v>2016/11/28</v>
      </c>
      <c r="I664" s="6">
        <v>198</v>
      </c>
      <c r="J664" s="6">
        <v>100</v>
      </c>
      <c r="K664" s="4" t="str">
        <f t="shared" si="38"/>
        <v>1  和書</v>
      </c>
      <c r="L664" s="7"/>
    </row>
    <row r="665" spans="1:12" x14ac:dyDescent="0.15">
      <c r="A665" s="36">
        <v>664</v>
      </c>
      <c r="B665" s="3" t="s">
        <v>36</v>
      </c>
      <c r="C665" s="4" t="str">
        <f>"0001349122"</f>
        <v>0001349122</v>
      </c>
      <c r="D665" s="5" t="str">
        <f>"英国王室史事典 / 森護著.-- 大修館書店; 1994.7."</f>
        <v>英国王室史事典 / 森護著.-- 大修館書店; 1994.7.</v>
      </c>
      <c r="E665" s="5" t="str">
        <f>""</f>
        <v/>
      </c>
      <c r="F665" s="26"/>
      <c r="G665" s="27" t="str">
        <f>"R288.49/ﾓﾘ"</f>
        <v>R288.49/ﾓﾘ</v>
      </c>
      <c r="H665" s="4" t="str">
        <f>"1997/02/19"</f>
        <v>1997/02/19</v>
      </c>
      <c r="I665" s="6">
        <v>6025</v>
      </c>
      <c r="J665" s="6">
        <v>100</v>
      </c>
      <c r="K665" s="4" t="str">
        <f t="shared" si="38"/>
        <v>1  和書</v>
      </c>
      <c r="L665" s="7"/>
    </row>
    <row r="666" spans="1:12" ht="24" x14ac:dyDescent="0.15">
      <c r="A666" s="36">
        <v>665</v>
      </c>
      <c r="B666" s="3" t="s">
        <v>36</v>
      </c>
      <c r="C666" s="4" t="str">
        <f>"0002679952"</f>
        <v>0002679952</v>
      </c>
      <c r="D666" s="5" t="str">
        <f>"僕の叔父さん網野善彦 / 中沢新一著.-- 集英社; 2004.11.-- (集英社新書 ; 0269D)."</f>
        <v>僕の叔父さん網野善彦 / 中沢新一著.-- 集英社; 2004.11.-- (集英社新書 ; 0269D).</v>
      </c>
      <c r="E666" s="5" t="str">
        <f>""</f>
        <v/>
      </c>
      <c r="F666" s="26"/>
      <c r="G666" s="27" t="str">
        <f>"289.1/ｱﾐ"</f>
        <v>289.1/ｱﾐ</v>
      </c>
      <c r="H666" s="4" t="str">
        <f>"2005/02/03"</f>
        <v>2005/02/03</v>
      </c>
      <c r="I666" s="6">
        <v>623</v>
      </c>
      <c r="J666" s="6">
        <v>100</v>
      </c>
      <c r="K666" s="4" t="str">
        <f t="shared" si="38"/>
        <v>1  和書</v>
      </c>
      <c r="L666" s="7"/>
    </row>
    <row r="667" spans="1:12" ht="24" x14ac:dyDescent="0.15">
      <c r="A667" s="36">
        <v>666</v>
      </c>
      <c r="B667" s="3" t="s">
        <v>37</v>
      </c>
      <c r="C667" s="4" t="str">
        <f>"0000536875"</f>
        <v>0000536875</v>
      </c>
      <c r="D667" s="5" t="str">
        <f>"地域分析 : 地域の見方・読み方・調べ方 / 村山祐司著.-- 増補.-- 古今書院; 1993.4."</f>
        <v>地域分析 : 地域の見方・読み方・調べ方 / 村山祐司著.-- 増補.-- 古今書院; 1993.4.</v>
      </c>
      <c r="E667" s="5" t="str">
        <f>""</f>
        <v/>
      </c>
      <c r="F667" s="26"/>
      <c r="G667" s="27" t="str">
        <f>"290.1/ﾑﾗ"</f>
        <v>290.1/ﾑﾗ</v>
      </c>
      <c r="H667" s="4" t="str">
        <f>"1995/03/03"</f>
        <v>1995/03/03</v>
      </c>
      <c r="I667" s="6">
        <v>2250</v>
      </c>
      <c r="J667" s="6">
        <v>100</v>
      </c>
      <c r="K667" s="4" t="str">
        <f t="shared" si="38"/>
        <v>1  和書</v>
      </c>
      <c r="L667" s="7"/>
    </row>
    <row r="668" spans="1:12" ht="24" x14ac:dyDescent="0.15">
      <c r="A668" s="36">
        <v>667</v>
      </c>
      <c r="B668" s="3" t="s">
        <v>37</v>
      </c>
      <c r="C668" s="4" t="str">
        <f>"0002648620"</f>
        <v>0002648620</v>
      </c>
      <c r="D668" s="5" t="str">
        <f>"今がわかる時代がわかる世界地図 / 成美堂出版編集部編集 ; 2003年版 - 2018年版.-- 成美堂出版; 2003.1-.-- (Seibido mook)."</f>
        <v>今がわかる時代がわかる世界地図 / 成美堂出版編集部編集 ; 2003年版 - 2018年版.-- 成美堂出版; 2003.1-.-- (Seibido mook).</v>
      </c>
      <c r="E668" s="5" t="str">
        <f>"2004年版"</f>
        <v>2004年版</v>
      </c>
      <c r="F668" s="26"/>
      <c r="G668" s="27" t="str">
        <f>"R290.38/ｾｲ/04"</f>
        <v>R290.38/ｾｲ/04</v>
      </c>
      <c r="H668" s="4" t="str">
        <f>"2003/12/12"</f>
        <v>2003/12/12</v>
      </c>
      <c r="I668" s="6">
        <v>1512</v>
      </c>
      <c r="J668" s="6">
        <v>100</v>
      </c>
      <c r="K668" s="4" t="str">
        <f t="shared" si="38"/>
        <v>1  和書</v>
      </c>
      <c r="L668" s="7"/>
    </row>
    <row r="669" spans="1:12" ht="24" x14ac:dyDescent="0.15">
      <c r="A669" s="36">
        <v>668</v>
      </c>
      <c r="B669" s="3" t="s">
        <v>37</v>
      </c>
      <c r="C669" s="4" t="str">
        <f>"0002648637"</f>
        <v>0002648637</v>
      </c>
      <c r="D669" s="5" t="str">
        <f>"今がわかる時代がわかる日本地図 / 成美堂出版編集部編 ; 2004年版 - 2018年版.-- 成美堂出版; 2004.2-.-- (Seibido mook)."</f>
        <v>今がわかる時代がわかる日本地図 / 成美堂出版編集部編 ; 2004年版 - 2018年版.-- 成美堂出版; 2004.2-.-- (Seibido mook).</v>
      </c>
      <c r="E669" s="5" t="str">
        <f>"2004年版"</f>
        <v>2004年版</v>
      </c>
      <c r="F669" s="26"/>
      <c r="G669" s="27" t="str">
        <f>"R291/ｾｲ/04"</f>
        <v>R291/ｾｲ/04</v>
      </c>
      <c r="H669" s="4" t="str">
        <f>"2003/12/12"</f>
        <v>2003/12/12</v>
      </c>
      <c r="I669" s="6">
        <v>1512</v>
      </c>
      <c r="J669" s="6">
        <v>100</v>
      </c>
      <c r="K669" s="4" t="str">
        <f t="shared" si="38"/>
        <v>1  和書</v>
      </c>
      <c r="L669" s="7"/>
    </row>
    <row r="670" spans="1:12" ht="24" x14ac:dyDescent="0.15">
      <c r="A670" s="36">
        <v>669</v>
      </c>
      <c r="B670" s="3" t="s">
        <v>37</v>
      </c>
      <c r="C670" s="4" t="str">
        <f>"0002689081"</f>
        <v>0002689081</v>
      </c>
      <c r="D670" s="5" t="str">
        <f>"北アイルランド「ケルト」紀行 : アルスターを歩く / 武部好伸著.-- 彩流社; 2001.10."</f>
        <v>北アイルランド「ケルト」紀行 : アルスターを歩く / 武部好伸著.-- 彩流社; 2001.10.</v>
      </c>
      <c r="E670" s="5" t="str">
        <f>""</f>
        <v/>
      </c>
      <c r="F670" s="26"/>
      <c r="G670" s="27" t="str">
        <f>"293.38/ﾀｹ"</f>
        <v>293.38/ﾀｹ</v>
      </c>
      <c r="H670" s="4" t="str">
        <f>"2005/06/17"</f>
        <v>2005/06/17</v>
      </c>
      <c r="I670" s="6">
        <v>2079</v>
      </c>
      <c r="J670" s="6">
        <v>100</v>
      </c>
      <c r="K670" s="4" t="str">
        <f t="shared" si="38"/>
        <v>1  和書</v>
      </c>
      <c r="L670" s="7"/>
    </row>
    <row r="671" spans="1:12" ht="24" x14ac:dyDescent="0.15">
      <c r="A671" s="36">
        <v>670</v>
      </c>
      <c r="B671" s="3" t="s">
        <v>37</v>
      </c>
      <c r="C671" s="4" t="str">
        <f>"0002689074"</f>
        <v>0002689074</v>
      </c>
      <c r="D671" s="5" t="str">
        <f>"フランス「ケルト」紀行 : ブルターニュを歩く / 武部好伸著.-- 彩流社; 2003.7."</f>
        <v>フランス「ケルト」紀行 : ブルターニュを歩く / 武部好伸著.-- 彩流社; 2003.7.</v>
      </c>
      <c r="E671" s="5" t="str">
        <f>""</f>
        <v/>
      </c>
      <c r="F671" s="26"/>
      <c r="G671" s="27" t="str">
        <f>"293.5/ﾀｹ"</f>
        <v>293.5/ﾀｹ</v>
      </c>
      <c r="H671" s="4" t="str">
        <f>"2005/06/17"</f>
        <v>2005/06/17</v>
      </c>
      <c r="I671" s="6">
        <v>2173</v>
      </c>
      <c r="J671" s="6">
        <v>100</v>
      </c>
      <c r="K671" s="4" t="str">
        <f t="shared" si="38"/>
        <v>1  和書</v>
      </c>
      <c r="L671" s="7"/>
    </row>
    <row r="672" spans="1:12" ht="24" x14ac:dyDescent="0.15">
      <c r="A672" s="36">
        <v>671</v>
      </c>
      <c r="B672" s="3" t="s">
        <v>38</v>
      </c>
      <c r="C672" s="4" t="str">
        <f>"0002479446"</f>
        <v>0002479446</v>
      </c>
      <c r="D672" s="5" t="str">
        <f>"ウォーラーステイン / 川北稔編.-- 講談社; 2001.9.-- (講談社選書メチエ ; 222 . 知の教科書||チ ノ キョウカショ)."</f>
        <v>ウォーラーステイン / 川北稔編.-- 講談社; 2001.9.-- (講談社選書メチエ ; 222 . 知の教科書||チ ノ キョウカショ).</v>
      </c>
      <c r="E672" s="5" t="str">
        <f>""</f>
        <v/>
      </c>
      <c r="F672" s="26"/>
      <c r="G672" s="27" t="str">
        <f>"301/ｶﾜ"</f>
        <v>301/ｶﾜ</v>
      </c>
      <c r="H672" s="4" t="str">
        <f>"2002/02/12"</f>
        <v>2002/02/12</v>
      </c>
      <c r="I672" s="6">
        <v>1417</v>
      </c>
      <c r="J672" s="6">
        <v>100</v>
      </c>
      <c r="K672" s="4" t="str">
        <f t="shared" si="38"/>
        <v>1  和書</v>
      </c>
      <c r="L672" s="7"/>
    </row>
    <row r="673" spans="1:12" x14ac:dyDescent="0.15">
      <c r="A673" s="36">
        <v>672</v>
      </c>
      <c r="B673" s="3" t="s">
        <v>38</v>
      </c>
      <c r="C673" s="10" t="str">
        <f>"0000467797"</f>
        <v>0000467797</v>
      </c>
      <c r="D673" s="11" t="str">
        <f>"情報文明論 / 公文俊平著.-- NTT出版; 1994.4."</f>
        <v>情報文明論 / 公文俊平著.-- NTT出版; 1994.4.</v>
      </c>
      <c r="E673" s="11" t="str">
        <f>""</f>
        <v/>
      </c>
      <c r="F673" s="28" t="s">
        <v>8</v>
      </c>
      <c r="G673" s="29" t="str">
        <f>"301/ｸﾓ"</f>
        <v>301/ｸﾓ</v>
      </c>
      <c r="H673" s="10" t="str">
        <f>"1994/07/01"</f>
        <v>1994/07/01</v>
      </c>
      <c r="I673" s="12">
        <v>4950</v>
      </c>
      <c r="J673" s="12">
        <v>100</v>
      </c>
      <c r="K673" s="10" t="str">
        <f t="shared" si="38"/>
        <v>1  和書</v>
      </c>
      <c r="L673" s="13"/>
    </row>
    <row r="674" spans="1:12" x14ac:dyDescent="0.15">
      <c r="A674" s="36">
        <v>673</v>
      </c>
      <c r="B674" s="3" t="s">
        <v>38</v>
      </c>
      <c r="C674" s="10" t="str">
        <f>"0000474337"</f>
        <v>0000474337</v>
      </c>
      <c r="D674" s="11" t="str">
        <f>"情報文明論 / 公文俊平著.-- NTT出版; 1994.4."</f>
        <v>情報文明論 / 公文俊平著.-- NTT出版; 1994.4.</v>
      </c>
      <c r="E674" s="11" t="str">
        <f>""</f>
        <v/>
      </c>
      <c r="F674" s="28" t="s">
        <v>8</v>
      </c>
      <c r="G674" s="29" t="str">
        <f>"301/ｸﾓ"</f>
        <v>301/ｸﾓ</v>
      </c>
      <c r="H674" s="10" t="str">
        <f>"1994/07/22"</f>
        <v>1994/07/22</v>
      </c>
      <c r="I674" s="12">
        <v>4950</v>
      </c>
      <c r="J674" s="12">
        <v>100</v>
      </c>
      <c r="K674" s="10" t="str">
        <f t="shared" si="38"/>
        <v>1  和書</v>
      </c>
      <c r="L674" s="13"/>
    </row>
    <row r="675" spans="1:12" ht="24" x14ac:dyDescent="0.15">
      <c r="A675" s="36">
        <v>674</v>
      </c>
      <c r="B675" s="3" t="s">
        <v>38</v>
      </c>
      <c r="C675" s="10" t="str">
        <f>"0000678162"</f>
        <v>0000678162</v>
      </c>
      <c r="D675" s="11" t="str">
        <f>"コミュニケーションの共同世界 : 相関社会科学序説 / 杉浦克己著.-- 東京大学出版会; 1993.5."</f>
        <v>コミュニケーションの共同世界 : 相関社会科学序説 / 杉浦克己著.-- 東京大学出版会; 1993.5.</v>
      </c>
      <c r="E675" s="11" t="str">
        <f>""</f>
        <v/>
      </c>
      <c r="F675" s="28" t="s">
        <v>8</v>
      </c>
      <c r="G675" s="29" t="str">
        <f>"301/ｽｷﾞ"</f>
        <v>301/ｽｷﾞ</v>
      </c>
      <c r="H675" s="10" t="str">
        <f>"1995/03/31"</f>
        <v>1995/03/31</v>
      </c>
      <c r="I675" s="12">
        <v>2938</v>
      </c>
      <c r="J675" s="12">
        <v>100</v>
      </c>
      <c r="K675" s="10" t="str">
        <f t="shared" si="38"/>
        <v>1  和書</v>
      </c>
      <c r="L675" s="13"/>
    </row>
    <row r="676" spans="1:12" ht="24" x14ac:dyDescent="0.15">
      <c r="A676" s="36">
        <v>675</v>
      </c>
      <c r="B676" s="3" t="s">
        <v>38</v>
      </c>
      <c r="C676" s="4" t="str">
        <f>"0000165112"</f>
        <v>0000165112</v>
      </c>
      <c r="D676" s="5" t="str">
        <f>"世界文化情報事典 : カルチャーグラム102 / G.P. スケーブランド, S.M. シムズ編 ; 古田暁編訳.-- 大修館書店; 1992.4."</f>
        <v>世界文化情報事典 : カルチャーグラム102 / G.P. スケーブランド, S.M. シムズ編 ; 古田暁編訳.-- 大修館書店; 1992.4.</v>
      </c>
      <c r="E676" s="5" t="str">
        <f>""</f>
        <v/>
      </c>
      <c r="F676" s="26"/>
      <c r="G676" s="27" t="str">
        <f>"R302/ｽｹ"</f>
        <v>R302/ｽｹ</v>
      </c>
      <c r="H676" s="4" t="str">
        <f>"1994/03/31"</f>
        <v>1994/03/31</v>
      </c>
      <c r="I676" s="6">
        <v>5107</v>
      </c>
      <c r="J676" s="6">
        <v>100</v>
      </c>
      <c r="K676" s="4" t="str">
        <f t="shared" si="38"/>
        <v>1  和書</v>
      </c>
      <c r="L676" s="7"/>
    </row>
    <row r="677" spans="1:12" ht="24" x14ac:dyDescent="0.15">
      <c r="A677" s="36">
        <v>676</v>
      </c>
      <c r="B677" s="3" t="s">
        <v>38</v>
      </c>
      <c r="C677" s="4" t="str">
        <f>"0002452883"</f>
        <v>0002452883</v>
      </c>
      <c r="D677" s="5" t="str">
        <f>"体験としての異文化 / 河合隼雄, 養老孟司共同編集.-- 岩波書店; 1997.2.-- (現代日本文化論 ; 7)."</f>
        <v>体験としての異文化 / 河合隼雄, 養老孟司共同編集.-- 岩波書店; 1997.2.-- (現代日本文化論 ; 7).</v>
      </c>
      <c r="E677" s="5" t="str">
        <f>""</f>
        <v/>
      </c>
      <c r="F677" s="26"/>
      <c r="G677" s="27" t="str">
        <f>"302.1/ｶﾜ/7"</f>
        <v>302.1/ｶﾜ/7</v>
      </c>
      <c r="H677" s="4" t="str">
        <f>"2001/06/05"</f>
        <v>2001/06/05</v>
      </c>
      <c r="I677" s="6">
        <v>2173</v>
      </c>
      <c r="J677" s="6">
        <v>100</v>
      </c>
      <c r="K677" s="4" t="str">
        <f t="shared" si="38"/>
        <v>1  和書</v>
      </c>
      <c r="L677" s="7"/>
    </row>
    <row r="678" spans="1:12" ht="24" x14ac:dyDescent="0.15">
      <c r="A678" s="36">
        <v>677</v>
      </c>
      <c r="B678" s="3" t="s">
        <v>38</v>
      </c>
      <c r="C678" s="4" t="str">
        <f>"0001358957"</f>
        <v>0001358957</v>
      </c>
      <c r="D678" s="5" t="str">
        <f>"倫理と道徳 / 河合隼雄, 鶴見俊輔共同編集.-- 岩波書店; 1997.5.-- (現代日本文化論 / 河合隼雄責任編集 ; 9)."</f>
        <v>倫理と道徳 / 河合隼雄, 鶴見俊輔共同編集.-- 岩波書店; 1997.5.-- (現代日本文化論 / 河合隼雄責任編集 ; 9).</v>
      </c>
      <c r="E678" s="5" t="str">
        <f>""</f>
        <v/>
      </c>
      <c r="F678" s="26"/>
      <c r="G678" s="27" t="str">
        <f>"302.1/ｶﾜ/9"</f>
        <v>302.1/ｶﾜ/9</v>
      </c>
      <c r="H678" s="4" t="str">
        <f>"1997/05/16"</f>
        <v>1997/05/16</v>
      </c>
      <c r="I678" s="6">
        <v>2173</v>
      </c>
      <c r="J678" s="6">
        <v>100</v>
      </c>
      <c r="K678" s="4" t="str">
        <f t="shared" si="38"/>
        <v>1  和書</v>
      </c>
      <c r="L678" s="7"/>
    </row>
    <row r="679" spans="1:12" ht="24" x14ac:dyDescent="0.15">
      <c r="A679" s="36">
        <v>678</v>
      </c>
      <c r="B679" s="3" t="s">
        <v>38</v>
      </c>
      <c r="C679" s="10" t="str">
        <f>"0002456201"</f>
        <v>0002456201</v>
      </c>
      <c r="D679" s="11" t="str">
        <f>"イギリスの生活と文化事典 / 安東伸介 [ほか] 編.-- 研究社出版; 1982.12."</f>
        <v>イギリスの生活と文化事典 / 安東伸介 [ほか] 編.-- 研究社出版; 1982.12.</v>
      </c>
      <c r="E679" s="11" t="str">
        <f>""</f>
        <v/>
      </c>
      <c r="F679" s="28" t="s">
        <v>8</v>
      </c>
      <c r="G679" s="29" t="str">
        <f>"R302.33/ｱﾝ"</f>
        <v>R302.33/ｱﾝ</v>
      </c>
      <c r="H679" s="10" t="str">
        <f>"2001/07/12"</f>
        <v>2001/07/12</v>
      </c>
      <c r="I679" s="12">
        <v>12285</v>
      </c>
      <c r="J679" s="14">
        <v>500</v>
      </c>
      <c r="K679" s="10" t="str">
        <f t="shared" si="38"/>
        <v>1  和書</v>
      </c>
      <c r="L679" s="13"/>
    </row>
    <row r="680" spans="1:12" ht="24" x14ac:dyDescent="0.15">
      <c r="A680" s="36">
        <v>679</v>
      </c>
      <c r="B680" s="3" t="s">
        <v>38</v>
      </c>
      <c r="C680" s="4" t="str">
        <f>"0003514252"</f>
        <v>0003514252</v>
      </c>
      <c r="D680" s="5" t="str">
        <f>"紛争の記憶と生きる : 北アイルランドの壁画とコミュニティの変容 / 福井令恵著.-- 青弓社; 2015.3."</f>
        <v>紛争の記憶と生きる : 北アイルランドの壁画とコミュニティの変容 / 福井令恵著.-- 青弓社; 2015.3.</v>
      </c>
      <c r="E680" s="5" t="str">
        <f>""</f>
        <v/>
      </c>
      <c r="F680" s="26"/>
      <c r="G680" s="27" t="str">
        <f>"302.33/ﾌｸ"</f>
        <v>302.33/ﾌｸ</v>
      </c>
      <c r="H680" s="4" t="str">
        <f>"2015/10/07"</f>
        <v>2015/10/07</v>
      </c>
      <c r="I680" s="6">
        <v>4320</v>
      </c>
      <c r="J680" s="6">
        <v>100</v>
      </c>
      <c r="K680" s="4" t="str">
        <f t="shared" si="38"/>
        <v>1  和書</v>
      </c>
      <c r="L680" s="7"/>
    </row>
    <row r="681" spans="1:12" ht="24" x14ac:dyDescent="0.15">
      <c r="A681" s="36">
        <v>680</v>
      </c>
      <c r="B681" s="3" t="s">
        <v>38</v>
      </c>
      <c r="C681" s="4" t="str">
        <f>"0002916873"</f>
        <v>0002916873</v>
      </c>
      <c r="D681" s="5" t="str">
        <f>"暴力と和解のあいだ : 北アイルランド紛争を生きる人びと / 尹慧瑛著.-- 法政大学出版局; 2007.3."</f>
        <v>暴力と和解のあいだ : 北アイルランド紛争を生きる人びと / 尹慧瑛著.-- 法政大学出版局; 2007.3.</v>
      </c>
      <c r="E681" s="5" t="str">
        <f>""</f>
        <v/>
      </c>
      <c r="F681" s="26"/>
      <c r="G681" s="27" t="str">
        <f>"302.33/ﾕﾝ"</f>
        <v>302.33/ﾕﾝ</v>
      </c>
      <c r="H681" s="4" t="str">
        <f>"2007/06/20"</f>
        <v>2007/06/20</v>
      </c>
      <c r="I681" s="6">
        <v>2646</v>
      </c>
      <c r="J681" s="6">
        <v>100</v>
      </c>
      <c r="K681" s="4" t="str">
        <f t="shared" si="38"/>
        <v>1  和書</v>
      </c>
      <c r="L681" s="7"/>
    </row>
    <row r="682" spans="1:12" ht="24" x14ac:dyDescent="0.15">
      <c r="A682" s="36">
        <v>681</v>
      </c>
      <c r="B682" s="3" t="s">
        <v>38</v>
      </c>
      <c r="C682" s="4" t="str">
        <f>"0002677835"</f>
        <v>0002677835</v>
      </c>
      <c r="D682" s="5" t="str">
        <f>"21世紀ヨーロッパ学 : 伝統的イメージを検証する / 支倉寿子, 押村高編著.-- ミネルヴァ書房; 2002.5.-- (Minerva人文・社会科学叢書 ; 66)."</f>
        <v>21世紀ヨーロッパ学 : 伝統的イメージを検証する / 支倉寿子, 押村高編著.-- ミネルヴァ書房; 2002.5.-- (Minerva人文・社会科学叢書 ; 66).</v>
      </c>
      <c r="E682" s="5" t="str">
        <f>""</f>
        <v/>
      </c>
      <c r="F682" s="26"/>
      <c r="G682" s="27" t="str">
        <f>"302.3/ﾊｾ"</f>
        <v>302.3/ﾊｾ</v>
      </c>
      <c r="H682" s="4" t="str">
        <f>"2005/01/05"</f>
        <v>2005/01/05</v>
      </c>
      <c r="I682" s="6">
        <v>2835</v>
      </c>
      <c r="J682" s="6">
        <v>100</v>
      </c>
      <c r="K682" s="4" t="str">
        <f t="shared" si="38"/>
        <v>1  和書</v>
      </c>
      <c r="L682" s="7"/>
    </row>
    <row r="683" spans="1:12" ht="24" x14ac:dyDescent="0.15">
      <c r="A683" s="36">
        <v>682</v>
      </c>
      <c r="B683" s="3" t="s">
        <v>38</v>
      </c>
      <c r="C683" s="10" t="str">
        <f>"0002656304"</f>
        <v>0002656304</v>
      </c>
      <c r="D683" s="11" t="str">
        <f>"現代ヨーロッパ社会論 : 統合のなかの変容と葛藤 / 宮島喬編.-- 人文書院; 1998.2."</f>
        <v>現代ヨーロッパ社会論 : 統合のなかの変容と葛藤 / 宮島喬編.-- 人文書院; 1998.2.</v>
      </c>
      <c r="E683" s="11" t="str">
        <f>""</f>
        <v/>
      </c>
      <c r="F683" s="28" t="s">
        <v>8</v>
      </c>
      <c r="G683" s="29" t="str">
        <f>"302.3/ﾐﾔ"</f>
        <v>302.3/ﾐﾔ</v>
      </c>
      <c r="H683" s="10" t="str">
        <f>"2004/02/12"</f>
        <v>2004/02/12</v>
      </c>
      <c r="I683" s="12">
        <v>2457</v>
      </c>
      <c r="J683" s="12">
        <v>100</v>
      </c>
      <c r="K683" s="10" t="str">
        <f t="shared" si="38"/>
        <v>1  和書</v>
      </c>
      <c r="L683" s="13"/>
    </row>
    <row r="684" spans="1:12" ht="24" x14ac:dyDescent="0.15">
      <c r="A684" s="36">
        <v>683</v>
      </c>
      <c r="B684" s="3" t="s">
        <v>38</v>
      </c>
      <c r="C684" s="4" t="str">
        <f>"0001369489"</f>
        <v>0001369489</v>
      </c>
      <c r="D684" s="5" t="str">
        <f>"介入? : 人間の権利と国家の論理 / エリ・ウィーゼル, 川田順造編 ; 廣瀬浩司, 林修訳.-- 藤原書店; 1997.6."</f>
        <v>介入? : 人間の権利と国家の論理 / エリ・ウィーゼル, 川田順造編 ; 廣瀬浩司, 林修訳.-- 藤原書店; 1997.6.</v>
      </c>
      <c r="E684" s="5" t="str">
        <f>""</f>
        <v/>
      </c>
      <c r="F684" s="26"/>
      <c r="G684" s="27" t="str">
        <f>"304/ｳｲ"</f>
        <v>304/ｳｲ</v>
      </c>
      <c r="H684" s="4" t="str">
        <f>"1997/07/19"</f>
        <v>1997/07/19</v>
      </c>
      <c r="I684" s="6">
        <v>3024</v>
      </c>
      <c r="J684" s="6">
        <v>100</v>
      </c>
      <c r="K684" s="4" t="str">
        <f t="shared" si="38"/>
        <v>1  和書</v>
      </c>
      <c r="L684" s="7"/>
    </row>
    <row r="685" spans="1:12" ht="24" x14ac:dyDescent="0.15">
      <c r="A685" s="36">
        <v>684</v>
      </c>
      <c r="B685" s="3" t="s">
        <v>38</v>
      </c>
      <c r="C685" s="4" t="str">
        <f>"0002651767"</f>
        <v>0002651767</v>
      </c>
      <c r="D685" s="5" t="str">
        <f>"まともな人 / 養老孟司著.-- 中央公論新社; 2003.10.-- (中公新書 ; 1719)."</f>
        <v>まともな人 / 養老孟司著.-- 中央公論新社; 2003.10.-- (中公新書 ; 1719).</v>
      </c>
      <c r="E685" s="5" t="str">
        <f>""</f>
        <v/>
      </c>
      <c r="F685" s="26"/>
      <c r="G685" s="27" t="str">
        <f>"304/ﾖｳ"</f>
        <v>304/ﾖｳ</v>
      </c>
      <c r="H685" s="4" t="str">
        <f>"2003/12/17"</f>
        <v>2003/12/17</v>
      </c>
      <c r="I685" s="6">
        <v>661</v>
      </c>
      <c r="J685" s="6">
        <v>100</v>
      </c>
      <c r="K685" s="4" t="str">
        <f t="shared" si="38"/>
        <v>1  和書</v>
      </c>
      <c r="L685" s="7"/>
    </row>
    <row r="686" spans="1:12" ht="24" x14ac:dyDescent="0.15">
      <c r="A686" s="36">
        <v>685</v>
      </c>
      <c r="B686" s="3" t="s">
        <v>38</v>
      </c>
      <c r="C686" s="4" t="str">
        <f>"0000536868"</f>
        <v>0000536868</v>
      </c>
      <c r="D686" s="5" t="str">
        <f>"地域研究の現在 : 既成の学問への挑戦 / 中嶋嶺雄, チャルマーズ・ジョンソン編著.-- 大修館書店; 1989.2."</f>
        <v>地域研究の現在 : 既成の学問への挑戦 / 中嶋嶺雄, チャルマーズ・ジョンソン編著.-- 大修館書店; 1989.2.</v>
      </c>
      <c r="E686" s="5" t="str">
        <f>""</f>
        <v/>
      </c>
      <c r="F686" s="26"/>
      <c r="G686" s="27" t="str">
        <f>"307/ﾅｶ"</f>
        <v>307/ﾅｶ</v>
      </c>
      <c r="H686" s="4" t="str">
        <f>"1995/03/03"</f>
        <v>1995/03/03</v>
      </c>
      <c r="I686" s="6">
        <v>2039</v>
      </c>
      <c r="J686" s="6">
        <v>100</v>
      </c>
      <c r="K686" s="4" t="str">
        <f t="shared" si="38"/>
        <v>1  和書</v>
      </c>
      <c r="L686" s="7"/>
    </row>
    <row r="687" spans="1:12" ht="24" x14ac:dyDescent="0.15">
      <c r="A687" s="36">
        <v>686</v>
      </c>
      <c r="B687" s="3" t="s">
        <v>39</v>
      </c>
      <c r="C687" s="4" t="str">
        <f>"0001826074"</f>
        <v>0001826074</v>
      </c>
      <c r="D687" s="5" t="str">
        <f>"政治・政治学・政治哲学 / 福田歓一著.-- 岩波書店; 1998.5.-- (福田歓一著作集 / 福田歓一著 ; 第4巻)."</f>
        <v>政治・政治学・政治哲学 / 福田歓一著.-- 岩波書店; 1998.5.-- (福田歓一著作集 / 福田歓一著 ; 第4巻).</v>
      </c>
      <c r="E687" s="5" t="str">
        <f>""</f>
        <v/>
      </c>
      <c r="F687" s="26"/>
      <c r="G687" s="27" t="str">
        <f>"310.8/ﾌｸ/4"</f>
        <v>310.8/ﾌｸ/4</v>
      </c>
      <c r="H687" s="4" t="str">
        <f>"1998/05/12"</f>
        <v>1998/05/12</v>
      </c>
      <c r="I687" s="6">
        <v>6426</v>
      </c>
      <c r="J687" s="6">
        <v>100</v>
      </c>
      <c r="K687" s="4" t="str">
        <f t="shared" si="38"/>
        <v>1  和書</v>
      </c>
      <c r="L687" s="7"/>
    </row>
    <row r="688" spans="1:12" ht="24" x14ac:dyDescent="0.15">
      <c r="A688" s="36">
        <v>687</v>
      </c>
      <c r="B688" s="3" t="s">
        <v>39</v>
      </c>
      <c r="C688" s="10" t="str">
        <f>"0002163901"</f>
        <v>0002163901</v>
      </c>
      <c r="D688" s="11" t="str">
        <f>"市民学・CIVICS : 現代民主主義のパラダイム転換 / 名古忠行著.-- 法律文化社; 1996.4."</f>
        <v>市民学・CIVICS : 現代民主主義のパラダイム転換 / 名古忠行著.-- 法律文化社; 1996.4.</v>
      </c>
      <c r="E688" s="11" t="str">
        <f>""</f>
        <v/>
      </c>
      <c r="F688" s="28" t="s">
        <v>8</v>
      </c>
      <c r="G688" s="29" t="str">
        <f>"311/ﾅｺ"</f>
        <v>311/ﾅｺ</v>
      </c>
      <c r="H688" s="10" t="str">
        <f>"2000/08/08"</f>
        <v>2000/08/08</v>
      </c>
      <c r="I688" s="12">
        <v>3024</v>
      </c>
      <c r="J688" s="12">
        <v>100</v>
      </c>
      <c r="K688" s="10" t="str">
        <f t="shared" si="38"/>
        <v>1  和書</v>
      </c>
      <c r="L688" s="13"/>
    </row>
    <row r="689" spans="1:12" ht="24" x14ac:dyDescent="0.15">
      <c r="A689" s="36">
        <v>688</v>
      </c>
      <c r="B689" s="3" t="s">
        <v>39</v>
      </c>
      <c r="C689" s="4" t="str">
        <f>"0002196220"</f>
        <v>0002196220</v>
      </c>
      <c r="D689" s="5" t="str">
        <f>"民族という名の宗教 : 人をまとめる原理・排除する原理 / なだいなだ著.-- 岩波書店; 1992.1.-- (岩波新書 ; 新赤版 204)."</f>
        <v>民族という名の宗教 : 人をまとめる原理・排除する原理 / なだいなだ著.-- 岩波書店; 1992.1.-- (岩波新書 ; 新赤版 204).</v>
      </c>
      <c r="E689" s="5" t="str">
        <f>""</f>
        <v/>
      </c>
      <c r="F689" s="26"/>
      <c r="G689" s="27" t="str">
        <f>"311.3/ﾅﾀﾞ"</f>
        <v>311.3/ﾅﾀﾞ</v>
      </c>
      <c r="H689" s="4" t="str">
        <f>"2001/04/16"</f>
        <v>2001/04/16</v>
      </c>
      <c r="I689" s="6">
        <v>623</v>
      </c>
      <c r="J689" s="6">
        <v>100</v>
      </c>
      <c r="K689" s="4" t="str">
        <f t="shared" si="38"/>
        <v>1  和書</v>
      </c>
      <c r="L689" s="7"/>
    </row>
    <row r="690" spans="1:12" ht="24" x14ac:dyDescent="0.15">
      <c r="A690" s="36">
        <v>689</v>
      </c>
      <c r="B690" s="3" t="s">
        <v>39</v>
      </c>
      <c r="C690" s="4" t="str">
        <f>"0000708029"</f>
        <v>0000708029</v>
      </c>
      <c r="D690" s="5" t="str">
        <f>"現代世界の民主主義 : 回顧と展望 / F.カニンガム著 ; 中谷義和訳.-- 法律文化社; 1994.9."</f>
        <v>現代世界の民主主義 : 回顧と展望 / F.カニンガム著 ; 中谷義和訳.-- 法律文化社; 1994.9.</v>
      </c>
      <c r="E690" s="5" t="str">
        <f>""</f>
        <v/>
      </c>
      <c r="F690" s="26"/>
      <c r="G690" s="27" t="str">
        <f>"311.7/ｶﾆ"</f>
        <v>311.7/ｶﾆ</v>
      </c>
      <c r="H690" s="4" t="str">
        <f>"1995/03/31"</f>
        <v>1995/03/31</v>
      </c>
      <c r="I690" s="6">
        <v>2267</v>
      </c>
      <c r="J690" s="6">
        <v>100</v>
      </c>
      <c r="K690" s="4" t="str">
        <f t="shared" si="38"/>
        <v>1  和書</v>
      </c>
      <c r="L690" s="7"/>
    </row>
    <row r="691" spans="1:12" ht="24" x14ac:dyDescent="0.15">
      <c r="A691" s="36">
        <v>690</v>
      </c>
      <c r="B691" s="3" t="s">
        <v>39</v>
      </c>
      <c r="C691" s="4" t="str">
        <f>"0002354538"</f>
        <v>0002354538</v>
      </c>
      <c r="D691" s="5" t="str">
        <f>"大政翼賛会 : 国民動員をめぐる相剋 / ゴードン・M.バーガー著 ; 坂野潤治訳.-- 山川出版社; 2000.10."</f>
        <v>大政翼賛会 : 国民動員をめぐる相剋 / ゴードン・M.バーガー著 ; 坂野潤治訳.-- 山川出版社; 2000.10.</v>
      </c>
      <c r="E691" s="5" t="str">
        <f>""</f>
        <v/>
      </c>
      <c r="F691" s="26"/>
      <c r="G691" s="27" t="str">
        <f>"312.1/ﾊﾞｶﾞ"</f>
        <v>312.1/ﾊﾞｶﾞ</v>
      </c>
      <c r="H691" s="4" t="str">
        <f>"2001/02/27"</f>
        <v>2001/02/27</v>
      </c>
      <c r="I691" s="6">
        <v>4357</v>
      </c>
      <c r="J691" s="6">
        <v>100</v>
      </c>
      <c r="K691" s="4" t="str">
        <f t="shared" si="38"/>
        <v>1  和書</v>
      </c>
      <c r="L691" s="7"/>
    </row>
    <row r="692" spans="1:12" ht="24" x14ac:dyDescent="0.15">
      <c r="A692" s="36">
        <v>691</v>
      </c>
      <c r="B692" s="3" t="s">
        <v>39</v>
      </c>
      <c r="C692" s="4" t="str">
        <f>"0001837483"</f>
        <v>0001837483</v>
      </c>
      <c r="D692" s="5" t="str">
        <f>"占領下中道政権の形成と崩壊 : GHQ民政局と日本社会党 / 福永文夫著.-- 岩波書店; 1997.12."</f>
        <v>占領下中道政権の形成と崩壊 : GHQ民政局と日本社会党 / 福永文夫著.-- 岩波書店; 1997.12.</v>
      </c>
      <c r="E692" s="5" t="str">
        <f>""</f>
        <v/>
      </c>
      <c r="F692" s="26"/>
      <c r="G692" s="27" t="str">
        <f>"312.1/ﾌｸ"</f>
        <v>312.1/ﾌｸ</v>
      </c>
      <c r="H692" s="4" t="str">
        <f>"1998/07/29"</f>
        <v>1998/07/29</v>
      </c>
      <c r="I692" s="6">
        <v>6615</v>
      </c>
      <c r="J692" s="6">
        <v>100</v>
      </c>
      <c r="K692" s="4" t="str">
        <f t="shared" si="38"/>
        <v>1  和書</v>
      </c>
      <c r="L692" s="7"/>
    </row>
    <row r="693" spans="1:12" x14ac:dyDescent="0.15">
      <c r="A693" s="36">
        <v>692</v>
      </c>
      <c r="B693" s="3" t="s">
        <v>39</v>
      </c>
      <c r="C693" s="10" t="str">
        <f>"0001900170"</f>
        <v>0001900170</v>
      </c>
      <c r="D693" s="11" t="str">
        <f>"東南アジアの危機の構造 / 鈴木佑司著.-- 新版.-- 勁草書房; 1988.4."</f>
        <v>東南アジアの危機の構造 / 鈴木佑司著.-- 新版.-- 勁草書房; 1988.4.</v>
      </c>
      <c r="E693" s="11" t="str">
        <f>""</f>
        <v/>
      </c>
      <c r="F693" s="28" t="s">
        <v>8</v>
      </c>
      <c r="G693" s="29" t="str">
        <f>"312.23ｽｽﾞ"</f>
        <v>312.23ｽｽﾞ</v>
      </c>
      <c r="H693" s="10" t="str">
        <f>"1998/04/01"</f>
        <v>1998/04/01</v>
      </c>
      <c r="I693" s="12">
        <v>1</v>
      </c>
      <c r="J693" s="12">
        <v>100</v>
      </c>
      <c r="K693" s="10" t="str">
        <f t="shared" si="38"/>
        <v>1  和書</v>
      </c>
      <c r="L693" s="13"/>
    </row>
    <row r="694" spans="1:12" ht="24" x14ac:dyDescent="0.15">
      <c r="A694" s="36">
        <v>693</v>
      </c>
      <c r="B694" s="3" t="s">
        <v>39</v>
      </c>
      <c r="C694" s="4" t="str">
        <f>"0002117416"</f>
        <v>0002117416</v>
      </c>
      <c r="D694" s="5" t="str">
        <f>"ドイツ再生とEU : シュレーダー政権のめざすもの / 走尾正敬著.-- 勁草書房; 1999.6."</f>
        <v>ドイツ再生とEU : シュレーダー政権のめざすもの / 走尾正敬著.-- 勁草書房; 1999.6.</v>
      </c>
      <c r="E694" s="5" t="str">
        <f>""</f>
        <v/>
      </c>
      <c r="F694" s="26"/>
      <c r="G694" s="27" t="str">
        <f>"312.34/ﾊｼ"</f>
        <v>312.34/ﾊｼ</v>
      </c>
      <c r="H694" s="4" t="str">
        <f>"1999/09/28"</f>
        <v>1999/09/28</v>
      </c>
      <c r="I694" s="6">
        <v>2268</v>
      </c>
      <c r="J694" s="6">
        <v>100</v>
      </c>
      <c r="K694" s="4" t="str">
        <f t="shared" si="38"/>
        <v>1  和書</v>
      </c>
      <c r="L694" s="7"/>
    </row>
    <row r="695" spans="1:12" ht="24" x14ac:dyDescent="0.15">
      <c r="A695" s="36">
        <v>694</v>
      </c>
      <c r="B695" s="3" t="s">
        <v>39</v>
      </c>
      <c r="C695" s="4" t="str">
        <f>"0002117812"</f>
        <v>0002117812</v>
      </c>
      <c r="D695" s="5" t="str">
        <f>"不平等の再検討 : 潜在能力と自由 / アマルティア・セン [著] ; 池本幸生, 野上裕生, 佐藤仁訳.-- 岩波書店; 1999.7."</f>
        <v>不平等の再検討 : 潜在能力と自由 / アマルティア・セン [著] ; 池本幸生, 野上裕生, 佐藤仁訳.-- 岩波書店; 1999.7.</v>
      </c>
      <c r="E695" s="5" t="str">
        <f>""</f>
        <v/>
      </c>
      <c r="F695" s="26"/>
      <c r="G695" s="27" t="str">
        <f>"316.1/ｾﾝ"</f>
        <v>316.1/ｾﾝ</v>
      </c>
      <c r="H695" s="4" t="str">
        <f>"1999/10/07"</f>
        <v>1999/10/07</v>
      </c>
      <c r="I695" s="6">
        <v>2457</v>
      </c>
      <c r="J695" s="6">
        <v>100</v>
      </c>
      <c r="K695" s="4" t="str">
        <f t="shared" si="38"/>
        <v>1  和書</v>
      </c>
      <c r="L695" s="7"/>
    </row>
    <row r="696" spans="1:12" ht="24" x14ac:dyDescent="0.15">
      <c r="A696" s="36">
        <v>695</v>
      </c>
      <c r="B696" s="3" t="s">
        <v>39</v>
      </c>
      <c r="C696" s="4" t="str">
        <f>"0003132081"</f>
        <v>0003132081</v>
      </c>
      <c r="D696" s="5" t="str">
        <f>"在日コリアンと在英アイリッシュ : オールドカマーと市民としての権利 / 佐久間孝正著.-- 東京大学出版会; 2011.5."</f>
        <v>在日コリアンと在英アイリッシュ : オールドカマーと市民としての権利 / 佐久間孝正著.-- 東京大学出版会; 2011.5.</v>
      </c>
      <c r="E696" s="5" t="str">
        <f>""</f>
        <v/>
      </c>
      <c r="F696" s="26"/>
      <c r="G696" s="27" t="str">
        <f>"316.82/ｻｸ"</f>
        <v>316.82/ｻｸ</v>
      </c>
      <c r="H696" s="4" t="str">
        <f>"2011/12/19"</f>
        <v>2011/12/19</v>
      </c>
      <c r="I696" s="6">
        <v>3213</v>
      </c>
      <c r="J696" s="6">
        <v>100</v>
      </c>
      <c r="K696" s="4" t="str">
        <f t="shared" si="38"/>
        <v>1  和書</v>
      </c>
      <c r="L696" s="7"/>
    </row>
    <row r="697" spans="1:12" x14ac:dyDescent="0.15">
      <c r="A697" s="36">
        <v>696</v>
      </c>
      <c r="B697" s="3" t="s">
        <v>39</v>
      </c>
      <c r="C697" s="4" t="str">
        <f>"0000876674"</f>
        <v>0000876674</v>
      </c>
      <c r="D697" s="5" t="str">
        <f>"世界民族問題事典 / 松原正毅編集代表, NIRA編集.-- 平凡社; 1995.9."</f>
        <v>世界民族問題事典 / 松原正毅編集代表, NIRA編集.-- 平凡社; 1995.9.</v>
      </c>
      <c r="E697" s="5" t="str">
        <f>""</f>
        <v/>
      </c>
      <c r="F697" s="26"/>
      <c r="G697" s="27" t="str">
        <f>"R316.8/ﾏﾂ"</f>
        <v>R316.8/ﾏﾂ</v>
      </c>
      <c r="H697" s="4" t="str">
        <f>"1995/10/20"</f>
        <v>1995/10/20</v>
      </c>
      <c r="I697" s="6">
        <v>17820</v>
      </c>
      <c r="J697" s="8">
        <v>500</v>
      </c>
      <c r="K697" s="4" t="str">
        <f t="shared" si="38"/>
        <v>1  和書</v>
      </c>
      <c r="L697" s="7"/>
    </row>
    <row r="698" spans="1:12" ht="24" x14ac:dyDescent="0.15">
      <c r="A698" s="36">
        <v>697</v>
      </c>
      <c r="B698" s="3" t="s">
        <v>39</v>
      </c>
      <c r="C698" s="4" t="str">
        <f>"0002631967"</f>
        <v>0002631967</v>
      </c>
      <c r="D698" s="5" t="str">
        <f>"尾行者たちの街角 / 永井良和著.-- 世織書房; 2000.5.-- (探偵の社会史 / 永井良和著 ; 1)."</f>
        <v>尾行者たちの街角 / 永井良和著.-- 世織書房; 2000.5.-- (探偵の社会史 / 永井良和著 ; 1).</v>
      </c>
      <c r="E698" s="5" t="str">
        <f>""</f>
        <v/>
      </c>
      <c r="F698" s="26"/>
      <c r="G698" s="27" t="str">
        <f>"317.75/ﾅｶﾞ"</f>
        <v>317.75/ﾅｶﾞ</v>
      </c>
      <c r="H698" s="4" t="str">
        <f>"2003/04/21"</f>
        <v>2003/04/21</v>
      </c>
      <c r="I698" s="6">
        <v>2362</v>
      </c>
      <c r="J698" s="6">
        <v>100</v>
      </c>
      <c r="K698" s="4" t="str">
        <f t="shared" si="38"/>
        <v>1  和書</v>
      </c>
      <c r="L698" s="7"/>
    </row>
    <row r="699" spans="1:12" ht="24" x14ac:dyDescent="0.15">
      <c r="A699" s="36">
        <v>698</v>
      </c>
      <c r="B699" s="3" t="s">
        <v>39</v>
      </c>
      <c r="C699" s="4" t="str">
        <f>"0001320145"</f>
        <v>0001320145</v>
      </c>
      <c r="D699" s="5" t="str">
        <f>"地方分権事始め / 田島義介著.-- 岩波書店; 1996.3.-- (岩波新書 ; 新赤版 437)."</f>
        <v>地方分権事始め / 田島義介著.-- 岩波書店; 1996.3.-- (岩波新書 ; 新赤版 437).</v>
      </c>
      <c r="E699" s="5" t="str">
        <f>""</f>
        <v/>
      </c>
      <c r="F699" s="26"/>
      <c r="G699" s="27" t="str">
        <f>"318/ﾀｼﾞ"</f>
        <v>318/ﾀｼﾞ</v>
      </c>
      <c r="H699" s="4" t="str">
        <f>"1996/05/29"</f>
        <v>1996/05/29</v>
      </c>
      <c r="I699" s="6">
        <v>585</v>
      </c>
      <c r="J699" s="6">
        <v>100</v>
      </c>
      <c r="K699" s="4" t="str">
        <f t="shared" si="38"/>
        <v>1  和書</v>
      </c>
      <c r="L699" s="7"/>
    </row>
    <row r="700" spans="1:12" ht="24" x14ac:dyDescent="0.15">
      <c r="A700" s="36">
        <v>699</v>
      </c>
      <c r="B700" s="3" t="s">
        <v>39</v>
      </c>
      <c r="C700" s="4" t="str">
        <f>"0001317701"</f>
        <v>0001317701</v>
      </c>
      <c r="D700" s="5" t="str">
        <f>"日本の自治・分権 / 松下圭一著.-- 岩波書店; 1996.1.-- (岩波新書 ; 新赤版 425)."</f>
        <v>日本の自治・分権 / 松下圭一著.-- 岩波書店; 1996.1.-- (岩波新書 ; 新赤版 425).</v>
      </c>
      <c r="E700" s="5" t="str">
        <f>""</f>
        <v/>
      </c>
      <c r="F700" s="26"/>
      <c r="G700" s="27" t="str">
        <f>"318/ﾏﾂ"</f>
        <v>318/ﾏﾂ</v>
      </c>
      <c r="H700" s="4" t="str">
        <f>"1996/05/16"</f>
        <v>1996/05/16</v>
      </c>
      <c r="I700" s="6">
        <v>585</v>
      </c>
      <c r="J700" s="6">
        <v>100</v>
      </c>
      <c r="K700" s="4" t="str">
        <f t="shared" si="38"/>
        <v>1  和書</v>
      </c>
      <c r="L700" s="7"/>
    </row>
    <row r="701" spans="1:12" ht="24" x14ac:dyDescent="0.15">
      <c r="A701" s="36">
        <v>700</v>
      </c>
      <c r="B701" s="3" t="s">
        <v>39</v>
      </c>
      <c r="C701" s="4" t="str">
        <f>"0000705066"</f>
        <v>0000705066</v>
      </c>
      <c r="D701" s="5" t="str">
        <f>"東京・ロンドンの研究 : 都市問題シンポジウムの記録 / 広岡治哉, 柴田徳衛編.-- 法政大学出版局; 1978.12.-- (叢書・現代の社会科学)."</f>
        <v>東京・ロンドンの研究 : 都市問題シンポジウムの記録 / 広岡治哉, 柴田徳衛編.-- 法政大学出版局; 1978.12.-- (叢書・現代の社会科学).</v>
      </c>
      <c r="E701" s="5" t="str">
        <f>""</f>
        <v/>
      </c>
      <c r="F701" s="26"/>
      <c r="G701" s="27" t="str">
        <f>"318.7/ﾋﾛ"</f>
        <v>318.7/ﾋﾛ</v>
      </c>
      <c r="H701" s="4" t="str">
        <f>"1995/03/31"</f>
        <v>1995/03/31</v>
      </c>
      <c r="I701" s="6">
        <v>816</v>
      </c>
      <c r="J701" s="6">
        <v>100</v>
      </c>
      <c r="K701" s="4" t="str">
        <f t="shared" si="38"/>
        <v>1  和書</v>
      </c>
      <c r="L701" s="7"/>
    </row>
    <row r="702" spans="1:12" ht="24" x14ac:dyDescent="0.15">
      <c r="A702" s="36">
        <v>701</v>
      </c>
      <c r="B702" s="3" t="s">
        <v>39</v>
      </c>
      <c r="C702" s="4" t="str">
        <f>"0002486895"</f>
        <v>0002486895</v>
      </c>
      <c r="D702" s="5" t="str">
        <f>"新しい「中世」 : 21世紀の世界システム / 田中明彦著.-- 日本経済新聞社; 1996.5."</f>
        <v>新しい「中世」 : 21世紀の世界システム / 田中明彦著.-- 日本経済新聞社; 1996.5.</v>
      </c>
      <c r="E702" s="5" t="str">
        <f>""</f>
        <v/>
      </c>
      <c r="F702" s="26"/>
      <c r="G702" s="27" t="str">
        <f>"319/ﾀﾅ"</f>
        <v>319/ﾀﾅ</v>
      </c>
      <c r="H702" s="4" t="str">
        <f>"2002/04/26"</f>
        <v>2002/04/26</v>
      </c>
      <c r="I702" s="6">
        <v>2109</v>
      </c>
      <c r="J702" s="6">
        <v>100</v>
      </c>
      <c r="K702" s="4" t="str">
        <f t="shared" si="38"/>
        <v>1  和書</v>
      </c>
      <c r="L702" s="7"/>
    </row>
    <row r="703" spans="1:12" ht="24" x14ac:dyDescent="0.15">
      <c r="A703" s="36">
        <v>702</v>
      </c>
      <c r="B703" s="3" t="s">
        <v>39</v>
      </c>
      <c r="C703" s="10" t="str">
        <f>"0002671208"</f>
        <v>0002671208</v>
      </c>
      <c r="D703" s="11" t="str">
        <f>"国際行政学 : 国際公益と国際公共政策 / 福田耕治著.-- 有斐閣; 2003.5.-- (有斐閣ブックス ; [96])."</f>
        <v>国際行政学 : 国際公益と国際公共政策 / 福田耕治著.-- 有斐閣; 2003.5.-- (有斐閣ブックス ; [96]).</v>
      </c>
      <c r="E703" s="11" t="str">
        <f>""</f>
        <v/>
      </c>
      <c r="F703" s="28" t="s">
        <v>8</v>
      </c>
      <c r="G703" s="29" t="str">
        <f>"319/ﾌｸ"</f>
        <v>319/ﾌｸ</v>
      </c>
      <c r="H703" s="10" t="str">
        <f>"2004/09/21"</f>
        <v>2004/09/21</v>
      </c>
      <c r="I703" s="12">
        <v>2079</v>
      </c>
      <c r="J703" s="12">
        <v>100</v>
      </c>
      <c r="K703" s="10" t="str">
        <f t="shared" si="38"/>
        <v>1  和書</v>
      </c>
      <c r="L703" s="13"/>
    </row>
    <row r="704" spans="1:12" ht="36" x14ac:dyDescent="0.15">
      <c r="A704" s="36">
        <v>703</v>
      </c>
      <c r="B704" s="3" t="s">
        <v>39</v>
      </c>
      <c r="C704" s="4" t="str">
        <f>"0001952148"</f>
        <v>0001952148</v>
      </c>
      <c r="D704" s="5" t="str">
        <f>"Going critical : the first North Korean nuclear crisis / Joel S. Wit, Daniel B. Poneman, Robert L. Gallucci.-- Brookings Institution Press; c2004."</f>
        <v>Going critical : the first North Korean nuclear crisis / Joel S. Wit, Daniel B. Poneman, Robert L. Gallucci.-- Brookings Institution Press; c2004.</v>
      </c>
      <c r="E704" s="5" t="str">
        <f>""</f>
        <v/>
      </c>
      <c r="F704" s="26"/>
      <c r="G704" s="27" t="str">
        <f>"319.21/WI"</f>
        <v>319.21/WI</v>
      </c>
      <c r="H704" s="4" t="str">
        <f>"2004/05/21"</f>
        <v>2004/05/21</v>
      </c>
      <c r="I704" s="6">
        <v>4440</v>
      </c>
      <c r="J704" s="6">
        <v>100</v>
      </c>
      <c r="K704" s="4" t="str">
        <f>"2  洋書"</f>
        <v>2  洋書</v>
      </c>
      <c r="L704" s="7"/>
    </row>
    <row r="705" spans="1:12" ht="36" x14ac:dyDescent="0.15">
      <c r="A705" s="36">
        <v>704</v>
      </c>
      <c r="B705" s="3" t="s">
        <v>39</v>
      </c>
      <c r="C705" s="4" t="str">
        <f>"0002677842"</f>
        <v>0002677842</v>
      </c>
      <c r="D705" s="5" t="str">
        <f>"アメリカが語る民主主義 : その普遍性、特異性、相互浸透性 / 大津留(北川)智恵子, 大芝亮編著.-- ミネルヴァ書房; 2000.12.-- (Minerva人文・社会科学叢書 ; 44)."</f>
        <v>アメリカが語る民主主義 : その普遍性、特異性、相互浸透性 / 大津留(北川)智恵子, 大芝亮編著.-- ミネルヴァ書房; 2000.12.-- (Minerva人文・社会科学叢書 ; 44).</v>
      </c>
      <c r="E705" s="5" t="str">
        <f>""</f>
        <v/>
      </c>
      <c r="F705" s="26"/>
      <c r="G705" s="27" t="str">
        <f>"319.53/ｵｵ"</f>
        <v>319.53/ｵｵ</v>
      </c>
      <c r="H705" s="4" t="str">
        <f>"2005/01/05"</f>
        <v>2005/01/05</v>
      </c>
      <c r="I705" s="6">
        <v>3969</v>
      </c>
      <c r="J705" s="6">
        <v>100</v>
      </c>
      <c r="K705" s="4" t="str">
        <f>"1  和書"</f>
        <v>1  和書</v>
      </c>
      <c r="L705" s="7"/>
    </row>
    <row r="706" spans="1:12" ht="24" x14ac:dyDescent="0.15">
      <c r="A706" s="36">
        <v>705</v>
      </c>
      <c r="B706" s="3" t="s">
        <v>39</v>
      </c>
      <c r="C706" s="10" t="str">
        <f>"0003907504"</f>
        <v>0003907504</v>
      </c>
      <c r="D706" s="11" t="str">
        <f>"1945年8月6日 : ヒロシマは語りつづける / 伊東壮著.-- 岩波書店; 1979.7.-- (岩波ジュニア新書 ; 6)."</f>
        <v>1945年8月6日 : ヒロシマは語りつづける / 伊東壮著.-- 岩波書店; 1979.7.-- (岩波ジュニア新書 ; 6).</v>
      </c>
      <c r="E706" s="11" t="str">
        <f>""</f>
        <v/>
      </c>
      <c r="F706" s="28" t="s">
        <v>8</v>
      </c>
      <c r="G706" s="29" t="str">
        <f>"319.8/ｲﾄ"</f>
        <v>319.8/ｲﾄ</v>
      </c>
      <c r="H706" s="10" t="str">
        <f>"1998/07/13"</f>
        <v>1998/07/13</v>
      </c>
      <c r="I706" s="12">
        <v>1</v>
      </c>
      <c r="J706" s="12">
        <v>100</v>
      </c>
      <c r="K706" s="10" t="str">
        <f t="shared" si="38"/>
        <v>1  和書</v>
      </c>
      <c r="L706" s="13"/>
    </row>
    <row r="707" spans="1:12" ht="24" x14ac:dyDescent="0.15">
      <c r="A707" s="36">
        <v>706</v>
      </c>
      <c r="B707" s="3" t="s">
        <v>39</v>
      </c>
      <c r="C707" s="10" t="str">
        <f>"0001312027"</f>
        <v>0001312027</v>
      </c>
      <c r="D707" s="11" t="str">
        <f>"戦争と平和 / 猪口邦子著.-- 東京大学出版会; 1989.5.-- (現代政治学叢書 / 猪口孝編 ; 17)."</f>
        <v>戦争と平和 / 猪口邦子著.-- 東京大学出版会; 1989.5.-- (現代政治学叢書 / 猪口孝編 ; 17).</v>
      </c>
      <c r="E707" s="11" t="str">
        <f>""</f>
        <v/>
      </c>
      <c r="F707" s="28" t="s">
        <v>8</v>
      </c>
      <c r="G707" s="29" t="str">
        <f>"319.8/ｲﾉ"</f>
        <v>319.8/ｲﾉ</v>
      </c>
      <c r="H707" s="10" t="str">
        <f>"1996/04/09"</f>
        <v>1996/04/09</v>
      </c>
      <c r="I707" s="12">
        <v>2039</v>
      </c>
      <c r="J707" s="12">
        <v>100</v>
      </c>
      <c r="K707" s="10" t="str">
        <f t="shared" si="38"/>
        <v>1  和書</v>
      </c>
      <c r="L707" s="13"/>
    </row>
    <row r="708" spans="1:12" s="2" customFormat="1" ht="24" x14ac:dyDescent="0.15">
      <c r="A708" s="36">
        <v>707</v>
      </c>
      <c r="B708" s="3" t="s">
        <v>39</v>
      </c>
      <c r="C708" s="10" t="str">
        <f>"0002333212"</f>
        <v>0002333212</v>
      </c>
      <c r="D708" s="11" t="str">
        <f>"二十世紀の戦争と平和 / 入江昭著.-- 東京大学出版会; 1986.11.-- (UP選書 ; 250)."</f>
        <v>二十世紀の戦争と平和 / 入江昭著.-- 東京大学出版会; 1986.11.-- (UP選書 ; 250).</v>
      </c>
      <c r="E708" s="11" t="str">
        <f>""</f>
        <v/>
      </c>
      <c r="F708" s="28" t="s">
        <v>8</v>
      </c>
      <c r="G708" s="29" t="str">
        <f>"319.8/ｲﾘ"</f>
        <v>319.8/ｲﾘ</v>
      </c>
      <c r="H708" s="10" t="str">
        <f>"2000/04/03"</f>
        <v>2000/04/03</v>
      </c>
      <c r="I708" s="12">
        <v>1</v>
      </c>
      <c r="J708" s="12">
        <v>100</v>
      </c>
      <c r="K708" s="10" t="str">
        <f t="shared" ref="K708:K757" si="39">"1  和書"</f>
        <v>1  和書</v>
      </c>
      <c r="L708" s="13"/>
    </row>
    <row r="709" spans="1:12" ht="24" x14ac:dyDescent="0.15">
      <c r="A709" s="36">
        <v>708</v>
      </c>
      <c r="B709" s="3" t="s">
        <v>39</v>
      </c>
      <c r="C709" s="4" t="str">
        <f>"0001904208"</f>
        <v>0001904208</v>
      </c>
      <c r="D709" s="5" t="str">
        <f>"核戦略と核軍備管理 : 日本の非核政策の課題 / 岩田修一郎著.-- 日本国際問題研究所; 1996.4."</f>
        <v>核戦略と核軍備管理 : 日本の非核政策の課題 / 岩田修一郎著.-- 日本国際問題研究所; 1996.4.</v>
      </c>
      <c r="E709" s="5" t="str">
        <f>""</f>
        <v/>
      </c>
      <c r="F709" s="26"/>
      <c r="G709" s="27" t="str">
        <f>"319.8/ｲﾜ"</f>
        <v>319.8/ｲﾜ</v>
      </c>
      <c r="H709" s="4" t="str">
        <f>"1998/04/01"</f>
        <v>1998/04/01</v>
      </c>
      <c r="I709" s="6">
        <v>1</v>
      </c>
      <c r="J709" s="6">
        <v>100</v>
      </c>
      <c r="K709" s="4" t="str">
        <f t="shared" si="39"/>
        <v>1  和書</v>
      </c>
      <c r="L709" s="7"/>
    </row>
    <row r="710" spans="1:12" ht="24" x14ac:dyDescent="0.15">
      <c r="A710" s="36">
        <v>709</v>
      </c>
      <c r="B710" s="3" t="s">
        <v>39</v>
      </c>
      <c r="C710" s="4" t="str">
        <f>"9100012036"</f>
        <v>9100012036</v>
      </c>
      <c r="D710" s="5" t="str">
        <f>"代理署名拒否の理由 / 大田昌秀[述] ; 沖縄県基地対策室[編].-- ひとなる書房; 1996.9.-- (ひとなるブックレット ; No.2)."</f>
        <v>代理署名拒否の理由 / 大田昌秀[述] ; 沖縄県基地対策室[編].-- ひとなる書房; 1996.9.-- (ひとなるブックレット ; No.2).</v>
      </c>
      <c r="E710" s="5" t="str">
        <f>""</f>
        <v/>
      </c>
      <c r="F710" s="26"/>
      <c r="G710" s="27" t="str">
        <f>"319.8/ｵｵ"</f>
        <v>319.8/ｵｵ</v>
      </c>
      <c r="H710" s="4" t="str">
        <f>"2011/04/01"</f>
        <v>2011/04/01</v>
      </c>
      <c r="I710" s="6">
        <v>1</v>
      </c>
      <c r="J710" s="6">
        <v>100</v>
      </c>
      <c r="K710" s="4" t="str">
        <f t="shared" si="39"/>
        <v>1  和書</v>
      </c>
      <c r="L710" s="7"/>
    </row>
    <row r="711" spans="1:12" ht="24" x14ac:dyDescent="0.15">
      <c r="A711" s="36">
        <v>710</v>
      </c>
      <c r="B711" s="3" t="s">
        <v>39</v>
      </c>
      <c r="C711" s="10" t="str">
        <f>"0002134918"</f>
        <v>0002134918</v>
      </c>
      <c r="D711" s="11" t="str">
        <f>"平和学 : その軌跡と展開 / 岡本三夫著.-- 法律文化社; 1999.12.-- (広島修道大学学術選書 ; 15)."</f>
        <v>平和学 : その軌跡と展開 / 岡本三夫著.-- 法律文化社; 1999.12.-- (広島修道大学学術選書 ; 15).</v>
      </c>
      <c r="E711" s="11" t="str">
        <f>""</f>
        <v/>
      </c>
      <c r="F711" s="28" t="s">
        <v>8</v>
      </c>
      <c r="G711" s="29" t="str">
        <f>"319.8/ｵｶ"</f>
        <v>319.8/ｵｶ</v>
      </c>
      <c r="H711" s="10" t="str">
        <f>"2000/02/24"</f>
        <v>2000/02/24</v>
      </c>
      <c r="I711" s="12">
        <v>5670</v>
      </c>
      <c r="J711" s="12">
        <v>100</v>
      </c>
      <c r="K711" s="10" t="str">
        <f t="shared" si="39"/>
        <v>1  和書</v>
      </c>
      <c r="L711" s="13"/>
    </row>
    <row r="712" spans="1:12" ht="24" x14ac:dyDescent="0.15">
      <c r="A712" s="36">
        <v>711</v>
      </c>
      <c r="B712" s="3" t="s">
        <v>39</v>
      </c>
      <c r="C712" s="4" t="str">
        <f>"9100007469"</f>
        <v>9100007469</v>
      </c>
      <c r="D712" s="5" t="str">
        <f>"軍縮国際法の新しい視座 : 核兵器不拡散体制の研究 / 黒沢満著.-- 有信堂高文社; 1986.8."</f>
        <v>軍縮国際法の新しい視座 : 核兵器不拡散体制の研究 / 黒沢満著.-- 有信堂高文社; 1986.8.</v>
      </c>
      <c r="E712" s="5" t="str">
        <f>""</f>
        <v/>
      </c>
      <c r="F712" s="26"/>
      <c r="G712" s="27" t="str">
        <f>"319.8/ｸﾛ"</f>
        <v>319.8/ｸﾛ</v>
      </c>
      <c r="H712" s="4" t="str">
        <f>"2011/03/17"</f>
        <v>2011/03/17</v>
      </c>
      <c r="I712" s="6">
        <v>1</v>
      </c>
      <c r="J712" s="6">
        <v>100</v>
      </c>
      <c r="K712" s="4" t="str">
        <f t="shared" si="39"/>
        <v>1  和書</v>
      </c>
      <c r="L712" s="7"/>
    </row>
    <row r="713" spans="1:12" x14ac:dyDescent="0.15">
      <c r="A713" s="36">
        <v>712</v>
      </c>
      <c r="B713" s="3" t="s">
        <v>39</v>
      </c>
      <c r="C713" s="10" t="str">
        <f>"0001921366"</f>
        <v>0001921366</v>
      </c>
      <c r="D713" s="11" t="str">
        <f>"軍縮問題入門 / 黒沢満編著.-- 第2版.-- 東信堂; 1999.11."</f>
        <v>軍縮問題入門 / 黒沢満編著.-- 第2版.-- 東信堂; 1999.11.</v>
      </c>
      <c r="E713" s="11" t="str">
        <f>""</f>
        <v/>
      </c>
      <c r="F713" s="28" t="s">
        <v>8</v>
      </c>
      <c r="G713" s="29" t="str">
        <f>"319.8/ｸﾛ"</f>
        <v>319.8/ｸﾛ</v>
      </c>
      <c r="H713" s="10" t="str">
        <f>"2000/10/02"</f>
        <v>2000/10/02</v>
      </c>
      <c r="I713" s="12">
        <v>1</v>
      </c>
      <c r="J713" s="12">
        <v>100</v>
      </c>
      <c r="K713" s="10" t="str">
        <f t="shared" si="39"/>
        <v>1  和書</v>
      </c>
      <c r="L713" s="13"/>
    </row>
    <row r="714" spans="1:12" x14ac:dyDescent="0.15">
      <c r="A714" s="36">
        <v>713</v>
      </c>
      <c r="B714" s="3" t="s">
        <v>39</v>
      </c>
      <c r="C714" s="4" t="str">
        <f>"0001980332"</f>
        <v>0001980332</v>
      </c>
      <c r="D714" s="5" t="str">
        <f>"この星に生まれて : 復興・ひろしま・国連.-- 中国新聞社."</f>
        <v>この星に生まれて : 復興・ひろしま・国連.-- 中国新聞社.</v>
      </c>
      <c r="E714" s="5" t="str">
        <f>""</f>
        <v/>
      </c>
      <c r="F714" s="26"/>
      <c r="G714" s="27" t="str">
        <f>"319.8/ｺﾉ"</f>
        <v>319.8/ｺﾉ</v>
      </c>
      <c r="H714" s="4" t="str">
        <f>"2004/11/29"</f>
        <v>2004/11/29</v>
      </c>
      <c r="I714" s="6">
        <v>1</v>
      </c>
      <c r="J714" s="6">
        <v>100</v>
      </c>
      <c r="K714" s="4" t="str">
        <f t="shared" si="39"/>
        <v>1  和書</v>
      </c>
      <c r="L714" s="7"/>
    </row>
    <row r="715" spans="1:12" ht="24" x14ac:dyDescent="0.15">
      <c r="A715" s="36">
        <v>714</v>
      </c>
      <c r="B715" s="3" t="s">
        <v>39</v>
      </c>
      <c r="C715" s="4" t="str">
        <f>"0003907665"</f>
        <v>0003907665</v>
      </c>
      <c r="D715" s="5" t="str">
        <f>"21世紀への平和と創造 : 摩擦を乗り越えて若者へのメッセージ /                    嶋矢史郎編著.-- 渓水社; 1998.7."</f>
        <v>21世紀への平和と創造 : 摩擦を乗り越えて若者へのメッセージ /                    嶋矢史郎編著.-- 渓水社; 1998.7.</v>
      </c>
      <c r="E715" s="5" t="str">
        <f>""</f>
        <v/>
      </c>
      <c r="F715" s="26"/>
      <c r="G715" s="27" t="str">
        <f>"319.8/ｼﾏ"</f>
        <v>319.8/ｼﾏ</v>
      </c>
      <c r="H715" s="4" t="str">
        <f>"1998/07/07"</f>
        <v>1998/07/07</v>
      </c>
      <c r="I715" s="6">
        <v>1</v>
      </c>
      <c r="J715" s="6">
        <v>100</v>
      </c>
      <c r="K715" s="4" t="str">
        <f t="shared" si="39"/>
        <v>1  和書</v>
      </c>
      <c r="L715" s="7"/>
    </row>
    <row r="716" spans="1:12" ht="24" x14ac:dyDescent="0.15">
      <c r="A716" s="36">
        <v>715</v>
      </c>
      <c r="B716" s="3" t="s">
        <v>39</v>
      </c>
      <c r="C716" s="4" t="str">
        <f>"9100010841"</f>
        <v>9100010841</v>
      </c>
      <c r="D716" s="5" t="str">
        <f>"第二次世界大戦の真実 : 戦争体験者は訴える / 下関原爆展事務局編集.-- [下関原爆展事務局]; 2007.1."</f>
        <v>第二次世界大戦の真実 : 戦争体験者は訴える / 下関原爆展事務局編集.-- [下関原爆展事務局]; 2007.1.</v>
      </c>
      <c r="E716" s="5" t="str">
        <f>""</f>
        <v/>
      </c>
      <c r="F716" s="26"/>
      <c r="G716" s="27" t="str">
        <f>"319.8/ｼﾓ"</f>
        <v>319.8/ｼﾓ</v>
      </c>
      <c r="H716" s="4" t="str">
        <f>"2011/04/01"</f>
        <v>2011/04/01</v>
      </c>
      <c r="I716" s="6">
        <v>1</v>
      </c>
      <c r="J716" s="6">
        <v>100</v>
      </c>
      <c r="K716" s="4" t="str">
        <f t="shared" si="39"/>
        <v>1  和書</v>
      </c>
      <c r="L716" s="7"/>
    </row>
    <row r="717" spans="1:12" x14ac:dyDescent="0.15">
      <c r="A717" s="36">
        <v>716</v>
      </c>
      <c r="B717" s="3" t="s">
        <v>39</v>
      </c>
      <c r="C717" s="4" t="str">
        <f>"9100015235"</f>
        <v>9100015235</v>
      </c>
      <c r="D717" s="5" t="str">
        <f>"ひろしま国 : 10代がつくる平和新聞 / 中国新聞社編.-- 明石書店; 2009.8."</f>
        <v>ひろしま国 : 10代がつくる平和新聞 / 中国新聞社編.-- 明石書店; 2009.8.</v>
      </c>
      <c r="E717" s="5" t="str">
        <f>""</f>
        <v/>
      </c>
      <c r="F717" s="26"/>
      <c r="G717" s="27" t="str">
        <f>"319.8/ﾁﾕ"</f>
        <v>319.8/ﾁﾕ</v>
      </c>
      <c r="H717" s="4" t="str">
        <f>"2011/04/01"</f>
        <v>2011/04/01</v>
      </c>
      <c r="I717" s="6">
        <v>1</v>
      </c>
      <c r="J717" s="6">
        <v>100</v>
      </c>
      <c r="K717" s="4" t="str">
        <f t="shared" si="39"/>
        <v>1  和書</v>
      </c>
      <c r="L717" s="7"/>
    </row>
    <row r="718" spans="1:12" ht="24" x14ac:dyDescent="0.15">
      <c r="A718" s="36">
        <v>717</v>
      </c>
      <c r="B718" s="3" t="s">
        <v>39</v>
      </c>
      <c r="C718" s="4" t="str">
        <f>"9100019554"</f>
        <v>9100019554</v>
      </c>
      <c r="D718" s="5" t="str">
        <f>"年表ヒロシマ : 核時代50年の記録 / 中国新聞社著作・編集 ; : [セット], [本編], 索引.-- 中国新聞社; 1995.7."</f>
        <v>年表ヒロシマ : 核時代50年の記録 / 中国新聞社著作・編集 ; : [セット], [本編], 索引.-- 中国新聞社; 1995.7.</v>
      </c>
      <c r="E718" s="5" t="str">
        <f>"[本編]"</f>
        <v>[本編]</v>
      </c>
      <c r="F718" s="26"/>
      <c r="G718" s="27" t="str">
        <f>"R319.8/ﾁﾕ/1"</f>
        <v>R319.8/ﾁﾕ/1</v>
      </c>
      <c r="H718" s="4" t="str">
        <f>"2013/02/28"</f>
        <v>2013/02/28</v>
      </c>
      <c r="I718" s="6">
        <v>18552</v>
      </c>
      <c r="J718" s="8">
        <v>500</v>
      </c>
      <c r="K718" s="4" t="str">
        <f t="shared" si="39"/>
        <v>1  和書</v>
      </c>
      <c r="L718" s="7"/>
    </row>
    <row r="719" spans="1:12" ht="24" x14ac:dyDescent="0.15">
      <c r="A719" s="36">
        <v>718</v>
      </c>
      <c r="B719" s="3" t="s">
        <v>39</v>
      </c>
      <c r="C719" s="4" t="str">
        <f>"9100019561"</f>
        <v>9100019561</v>
      </c>
      <c r="D719" s="5" t="str">
        <f>"年表ヒロシマ : 核時代50年の記録 / 中国新聞社著作・編集 ; : [セット], [本編], 索引.-- 中国新聞社; 1995.7."</f>
        <v>年表ヒロシマ : 核時代50年の記録 / 中国新聞社著作・編集 ; : [セット], [本編], 索引.-- 中国新聞社; 1995.7.</v>
      </c>
      <c r="E719" s="5" t="str">
        <f>"索引"</f>
        <v>索引</v>
      </c>
      <c r="F719" s="26"/>
      <c r="G719" s="27" t="str">
        <f>"R319.8/ﾁﾕ/2"</f>
        <v>R319.8/ﾁﾕ/2</v>
      </c>
      <c r="H719" s="4" t="str">
        <f>"2013/02/28"</f>
        <v>2013/02/28</v>
      </c>
      <c r="I719" s="6">
        <v>1</v>
      </c>
      <c r="J719" s="6">
        <v>100</v>
      </c>
      <c r="K719" s="4" t="str">
        <f t="shared" si="39"/>
        <v>1  和書</v>
      </c>
      <c r="L719" s="7"/>
    </row>
    <row r="720" spans="1:12" ht="24" x14ac:dyDescent="0.15">
      <c r="A720" s="36">
        <v>719</v>
      </c>
      <c r="B720" s="3" t="s">
        <v>39</v>
      </c>
      <c r="C720" s="4" t="str">
        <f>"0001905663"</f>
        <v>0001905663</v>
      </c>
      <c r="D720" s="5" t="str">
        <f>"核戦略と倫理 / ジョセフ・S・ナイ, Jr.著 ; 土山實男訳.-- 同文舘出版; 1988.8."</f>
        <v>核戦略と倫理 / ジョセフ・S・ナイ, Jr.著 ; 土山實男訳.-- 同文舘出版; 1988.8.</v>
      </c>
      <c r="E720" s="5" t="str">
        <f>""</f>
        <v/>
      </c>
      <c r="F720" s="26"/>
      <c r="G720" s="27" t="str">
        <f>"319.8/ﾅｲ"</f>
        <v>319.8/ﾅｲ</v>
      </c>
      <c r="H720" s="4" t="str">
        <f>"1998/04/01"</f>
        <v>1998/04/01</v>
      </c>
      <c r="I720" s="6">
        <v>1</v>
      </c>
      <c r="J720" s="6">
        <v>100</v>
      </c>
      <c r="K720" s="4" t="str">
        <f t="shared" si="39"/>
        <v>1  和書</v>
      </c>
      <c r="L720" s="7"/>
    </row>
    <row r="721" spans="1:12" ht="24" x14ac:dyDescent="0.15">
      <c r="A721" s="36">
        <v>720</v>
      </c>
      <c r="B721" s="3" t="s">
        <v>39</v>
      </c>
      <c r="C721" s="4" t="str">
        <f>"0003909614"</f>
        <v>0003909614</v>
      </c>
      <c r="D721" s="5" t="str">
        <f>"日本の軍縮・不拡散外交 / 外務省軍備管理・科学審議官組織監修.-- [出版者不明]; 2004.4."</f>
        <v>日本の軍縮・不拡散外交 / 外務省軍備管理・科学審議官組織監修.-- [出版者不明]; 2004.4.</v>
      </c>
      <c r="E721" s="5" t="str">
        <f>""</f>
        <v/>
      </c>
      <c r="F721" s="26"/>
      <c r="G721" s="27" t="str">
        <f>"319.8/ﾆﾎ"</f>
        <v>319.8/ﾆﾎ</v>
      </c>
      <c r="H721" s="4" t="str">
        <f>"2004/04/16"</f>
        <v>2004/04/16</v>
      </c>
      <c r="I721" s="6">
        <v>1</v>
      </c>
      <c r="J721" s="6">
        <v>100</v>
      </c>
      <c r="K721" s="4" t="str">
        <f t="shared" si="39"/>
        <v>1  和書</v>
      </c>
      <c r="L721" s="7"/>
    </row>
    <row r="722" spans="1:12" ht="24" x14ac:dyDescent="0.15">
      <c r="A722" s="36">
        <v>721</v>
      </c>
      <c r="B722" s="3" t="s">
        <v>39</v>
      </c>
      <c r="C722" s="4" t="str">
        <f>"0001904468"</f>
        <v>0001904468</v>
      </c>
      <c r="D722" s="5" t="str">
        <f>"なぜ日本に投下されたか / 岩垂弘, 中島竜美編集・解説.-- 日本図書センター; 1999.6.-- (日本原爆論大系 ; 第1巻)."</f>
        <v>なぜ日本に投下されたか / 岩垂弘, 中島竜美編集・解説.-- 日本図書センター; 1999.6.-- (日本原爆論大系 ; 第1巻).</v>
      </c>
      <c r="E722" s="5" t="str">
        <f>""</f>
        <v/>
      </c>
      <c r="F722" s="26"/>
      <c r="G722" s="27" t="str">
        <f>"319.8/ﾆﾎ/1"</f>
        <v>319.8/ﾆﾎ/1</v>
      </c>
      <c r="H722" s="4" t="str">
        <f t="shared" ref="H722:H728" si="40">"1999/06/28"</f>
        <v>1999/06/28</v>
      </c>
      <c r="I722" s="6">
        <v>6750</v>
      </c>
      <c r="J722" s="6">
        <v>100</v>
      </c>
      <c r="K722" s="4" t="str">
        <f t="shared" si="39"/>
        <v>1  和書</v>
      </c>
      <c r="L722" s="7" t="s">
        <v>19</v>
      </c>
    </row>
    <row r="723" spans="1:12" ht="24" x14ac:dyDescent="0.15">
      <c r="A723" s="36">
        <v>722</v>
      </c>
      <c r="B723" s="3" t="s">
        <v>39</v>
      </c>
      <c r="C723" s="4" t="str">
        <f>"0001904475"</f>
        <v>0001904475</v>
      </c>
      <c r="D723" s="5" t="str">
        <f>"被爆者の戦後史 / 中島竜美編集・解説.-- 日本図書センター; 1999.6.-- (日本原爆論大系 ; 第2巻)."</f>
        <v>被爆者の戦後史 / 中島竜美編集・解説.-- 日本図書センター; 1999.6.-- (日本原爆論大系 ; 第2巻).</v>
      </c>
      <c r="E723" s="5" t="str">
        <f>""</f>
        <v/>
      </c>
      <c r="F723" s="26"/>
      <c r="G723" s="27" t="str">
        <f>"319.8/ﾆﾎ/2"</f>
        <v>319.8/ﾆﾎ/2</v>
      </c>
      <c r="H723" s="4" t="str">
        <f t="shared" si="40"/>
        <v>1999/06/28</v>
      </c>
      <c r="I723" s="6">
        <v>6750</v>
      </c>
      <c r="J723" s="6">
        <v>100</v>
      </c>
      <c r="K723" s="4" t="str">
        <f t="shared" si="39"/>
        <v>1  和書</v>
      </c>
      <c r="L723" s="7" t="s">
        <v>19</v>
      </c>
    </row>
    <row r="724" spans="1:12" ht="24" x14ac:dyDescent="0.15">
      <c r="A724" s="36">
        <v>723</v>
      </c>
      <c r="B724" s="3" t="s">
        <v>39</v>
      </c>
      <c r="C724" s="4" t="str">
        <f>"0001904482"</f>
        <v>0001904482</v>
      </c>
      <c r="D724" s="5" t="str">
        <f>"原爆被害は国境を越える / 中島竜美編集・解説.-- 日本図書センター; 1999.6.-- (日本原爆論大系 ; 第3巻)."</f>
        <v>原爆被害は国境を越える / 中島竜美編集・解説.-- 日本図書センター; 1999.6.-- (日本原爆論大系 ; 第3巻).</v>
      </c>
      <c r="E724" s="5" t="str">
        <f>""</f>
        <v/>
      </c>
      <c r="F724" s="26"/>
      <c r="G724" s="27" t="str">
        <f>"319.8/ﾆﾎ/3"</f>
        <v>319.8/ﾆﾎ/3</v>
      </c>
      <c r="H724" s="4" t="str">
        <f t="shared" si="40"/>
        <v>1999/06/28</v>
      </c>
      <c r="I724" s="6">
        <v>6750</v>
      </c>
      <c r="J724" s="6">
        <v>100</v>
      </c>
      <c r="K724" s="4" t="str">
        <f t="shared" si="39"/>
        <v>1  和書</v>
      </c>
      <c r="L724" s="7" t="s">
        <v>19</v>
      </c>
    </row>
    <row r="725" spans="1:12" ht="24" x14ac:dyDescent="0.15">
      <c r="A725" s="36">
        <v>724</v>
      </c>
      <c r="B725" s="3" t="s">
        <v>39</v>
      </c>
      <c r="C725" s="4" t="str">
        <f>"0001904499"</f>
        <v>0001904499</v>
      </c>
      <c r="D725" s="5" t="str">
        <f>"核兵器禁止への道 / 岩垂弘編集・解説 ; 1, 2, 3.-- 日本図書センター; 1999.6.-- (日本原爆論大系 ; 第4巻-第6巻)."</f>
        <v>核兵器禁止への道 / 岩垂弘編集・解説 ; 1, 2, 3.-- 日本図書センター; 1999.6.-- (日本原爆論大系 ; 第4巻-第6巻).</v>
      </c>
      <c r="E725" s="5" t="str">
        <f>"1"</f>
        <v>1</v>
      </c>
      <c r="F725" s="26"/>
      <c r="G725" s="27" t="str">
        <f>"319.8/ﾆﾎ/4"</f>
        <v>319.8/ﾆﾎ/4</v>
      </c>
      <c r="H725" s="4" t="str">
        <f t="shared" si="40"/>
        <v>1999/06/28</v>
      </c>
      <c r="I725" s="6">
        <v>6750</v>
      </c>
      <c r="J725" s="6">
        <v>100</v>
      </c>
      <c r="K725" s="4" t="str">
        <f t="shared" si="39"/>
        <v>1  和書</v>
      </c>
      <c r="L725" s="7" t="s">
        <v>19</v>
      </c>
    </row>
    <row r="726" spans="1:12" ht="24" x14ac:dyDescent="0.15">
      <c r="A726" s="36">
        <v>725</v>
      </c>
      <c r="B726" s="3" t="s">
        <v>39</v>
      </c>
      <c r="C726" s="4" t="str">
        <f>"0001904505"</f>
        <v>0001904505</v>
      </c>
      <c r="D726" s="5" t="str">
        <f>"核兵器禁止への道 / 岩垂弘編集・解説 ; 1, 2, 3.-- 日本図書センター; 1999.6.-- (日本原爆論大系 ; 第4巻-第6巻)."</f>
        <v>核兵器禁止への道 / 岩垂弘編集・解説 ; 1, 2, 3.-- 日本図書センター; 1999.6.-- (日本原爆論大系 ; 第4巻-第6巻).</v>
      </c>
      <c r="E726" s="5" t="str">
        <f>"2"</f>
        <v>2</v>
      </c>
      <c r="F726" s="26"/>
      <c r="G726" s="27" t="str">
        <f>"319.8/ﾆﾎ/5"</f>
        <v>319.8/ﾆﾎ/5</v>
      </c>
      <c r="H726" s="4" t="str">
        <f t="shared" si="40"/>
        <v>1999/06/28</v>
      </c>
      <c r="I726" s="6">
        <v>6750</v>
      </c>
      <c r="J726" s="6">
        <v>100</v>
      </c>
      <c r="K726" s="4" t="str">
        <f t="shared" si="39"/>
        <v>1  和書</v>
      </c>
      <c r="L726" s="7" t="s">
        <v>19</v>
      </c>
    </row>
    <row r="727" spans="1:12" ht="24" x14ac:dyDescent="0.15">
      <c r="A727" s="36">
        <v>726</v>
      </c>
      <c r="B727" s="3" t="s">
        <v>39</v>
      </c>
      <c r="C727" s="4" t="str">
        <f>"0001904512"</f>
        <v>0001904512</v>
      </c>
      <c r="D727" s="5" t="str">
        <f>"核兵器禁止への道 / 岩垂弘編集・解説 ; 1, 2, 3.-- 日本図書センター; 1999.6.-- (日本原爆論大系 ; 第4巻-第6巻)."</f>
        <v>核兵器禁止への道 / 岩垂弘編集・解説 ; 1, 2, 3.-- 日本図書センター; 1999.6.-- (日本原爆論大系 ; 第4巻-第6巻).</v>
      </c>
      <c r="E727" s="5" t="str">
        <f>"3"</f>
        <v>3</v>
      </c>
      <c r="F727" s="26"/>
      <c r="G727" s="27" t="str">
        <f>"319.8/ﾆﾎ/6"</f>
        <v>319.8/ﾆﾎ/6</v>
      </c>
      <c r="H727" s="4" t="str">
        <f t="shared" si="40"/>
        <v>1999/06/28</v>
      </c>
      <c r="I727" s="6">
        <v>6750</v>
      </c>
      <c r="J727" s="6">
        <v>100</v>
      </c>
      <c r="K727" s="4" t="str">
        <f t="shared" si="39"/>
        <v>1  和書</v>
      </c>
      <c r="L727" s="7" t="s">
        <v>19</v>
      </c>
    </row>
    <row r="728" spans="1:12" ht="24" x14ac:dyDescent="0.15">
      <c r="A728" s="36">
        <v>727</v>
      </c>
      <c r="B728" s="3" t="s">
        <v>39</v>
      </c>
      <c r="C728" s="4" t="str">
        <f>"0001904529"</f>
        <v>0001904529</v>
      </c>
      <c r="D728" s="5" t="str">
        <f>"歴史認識としての原爆 / 岩垂弘, 中島竜美編集・解説.-- 日本図書センター; 1999.6.-- (日本原爆論大系 ; 第7巻)."</f>
        <v>歴史認識としての原爆 / 岩垂弘, 中島竜美編集・解説.-- 日本図書センター; 1999.6.-- (日本原爆論大系 ; 第7巻).</v>
      </c>
      <c r="E728" s="5" t="str">
        <f>""</f>
        <v/>
      </c>
      <c r="F728" s="26"/>
      <c r="G728" s="27" t="str">
        <f>"319.8/ﾆﾎ/7"</f>
        <v>319.8/ﾆﾎ/7</v>
      </c>
      <c r="H728" s="4" t="str">
        <f t="shared" si="40"/>
        <v>1999/06/28</v>
      </c>
      <c r="I728" s="6">
        <v>6750</v>
      </c>
      <c r="J728" s="6">
        <v>100</v>
      </c>
      <c r="K728" s="4" t="str">
        <f t="shared" si="39"/>
        <v>1  和書</v>
      </c>
      <c r="L728" s="7" t="s">
        <v>19</v>
      </c>
    </row>
    <row r="729" spans="1:12" ht="36" x14ac:dyDescent="0.15">
      <c r="A729" s="36">
        <v>728</v>
      </c>
      <c r="B729" s="3" t="s">
        <v>39</v>
      </c>
      <c r="C729" s="4" t="str">
        <f>"9100003911"</f>
        <v>9100003911</v>
      </c>
      <c r="D729" s="5" t="str">
        <f>"ウラン兵器なき世界をめざして : ICBUWの挑戦 = A world without uranium weapons : the ICBUW challenge / NO DU ヒロシマ・プロジェクト, ICBUW編集.-- NO DUヒロシマ・プロジェクト."</f>
        <v>ウラン兵器なき世界をめざして : ICBUWの挑戦 = A world without uranium weapons : the ICBUW challenge / NO DU ヒロシマ・プロジェクト, ICBUW編集.-- NO DUヒロシマ・プロジェクト.</v>
      </c>
      <c r="E729" s="5" t="str">
        <f>""</f>
        <v/>
      </c>
      <c r="F729" s="26"/>
      <c r="G729" s="27" t="str">
        <f>"319.8/ﾉﾄﾞ"</f>
        <v>319.8/ﾉﾄﾞ</v>
      </c>
      <c r="H729" s="4" t="str">
        <f>"2010/05/31"</f>
        <v>2010/05/31</v>
      </c>
      <c r="I729" s="6">
        <v>2250</v>
      </c>
      <c r="J729" s="6">
        <v>100</v>
      </c>
      <c r="K729" s="4" t="str">
        <f t="shared" si="39"/>
        <v>1  和書</v>
      </c>
      <c r="L729" s="7"/>
    </row>
    <row r="730" spans="1:12" x14ac:dyDescent="0.15">
      <c r="A730" s="36">
        <v>729</v>
      </c>
      <c r="B730" s="3" t="s">
        <v>39</v>
      </c>
      <c r="C730" s="10" t="str">
        <f>"0000492379"</f>
        <v>0000492379</v>
      </c>
      <c r="D730" s="11" t="str">
        <f>"平和の瞬間 : 二人のひろしまびと / 原田東岷著.-- 勁草書房; 1994.5."</f>
        <v>平和の瞬間 : 二人のひろしまびと / 原田東岷著.-- 勁草書房; 1994.5.</v>
      </c>
      <c r="E730" s="11" t="str">
        <f>""</f>
        <v/>
      </c>
      <c r="F730" s="28" t="s">
        <v>8</v>
      </c>
      <c r="G730" s="29" t="str">
        <f>"319.8/ﾊﾗ"</f>
        <v>319.8/ﾊﾗ</v>
      </c>
      <c r="H730" s="10" t="str">
        <f>"1994/10/24"</f>
        <v>1994/10/24</v>
      </c>
      <c r="I730" s="12">
        <v>1</v>
      </c>
      <c r="J730" s="12">
        <v>100</v>
      </c>
      <c r="K730" s="10" t="str">
        <f t="shared" si="39"/>
        <v>1  和書</v>
      </c>
      <c r="L730" s="13"/>
    </row>
    <row r="731" spans="1:12" ht="24" x14ac:dyDescent="0.15">
      <c r="A731" s="36">
        <v>730</v>
      </c>
      <c r="B731" s="3" t="s">
        <v>39</v>
      </c>
      <c r="C731" s="4" t="str">
        <f>"9100005373"</f>
        <v>9100005373</v>
      </c>
      <c r="D731" s="5" t="str">
        <f>"ヒロシマを世界に : 図録 = The Spirit of Hiroshima / 広島平和記念資料館編 ; トランズネット訳.-- 広島平和記念資料館; 1999.3."</f>
        <v>ヒロシマを世界に : 図録 = The Spirit of Hiroshima / 広島平和記念資料館編 ; トランズネット訳.-- 広島平和記念資料館; 1999.3.</v>
      </c>
      <c r="E731" s="5" t="str">
        <f>""</f>
        <v/>
      </c>
      <c r="F731" s="26"/>
      <c r="G731" s="27" t="str">
        <f>"319.8/ﾋﾛ"</f>
        <v>319.8/ﾋﾛ</v>
      </c>
      <c r="H731" s="4" t="str">
        <f>"2010/05/27"</f>
        <v>2010/05/27</v>
      </c>
      <c r="I731" s="6">
        <v>1000</v>
      </c>
      <c r="J731" s="6">
        <v>100</v>
      </c>
      <c r="K731" s="4" t="str">
        <f t="shared" si="39"/>
        <v>1  和書</v>
      </c>
      <c r="L731" s="7"/>
    </row>
    <row r="732" spans="1:12" ht="48" x14ac:dyDescent="0.15">
      <c r="A732" s="36">
        <v>731</v>
      </c>
      <c r="B732" s="3" t="s">
        <v>39</v>
      </c>
      <c r="C732" s="4" t="str">
        <f>"9100019578"</f>
        <v>9100019578</v>
      </c>
      <c r="D732" s="5" t="str">
        <f>"原爆文献大事典 / 文献情報研究会編著 ; 1945(昭和20)年?2002(平成14)年.-- 日本図書センター; 2004.6."</f>
        <v>原爆文献大事典 / 文献情報研究会編著 ; 1945(昭和20)年?2002(平成14)年.-- 日本図書センター; 2004.6.</v>
      </c>
      <c r="E732" s="5" t="str">
        <f>"1945(昭和20)年?2002(平成14)年"</f>
        <v>1945(昭和20)年?2002(平成14)年</v>
      </c>
      <c r="F732" s="26"/>
      <c r="G732" s="27" t="str">
        <f>"R319.8/ﾌﾞﾝ"</f>
        <v>R319.8/ﾌﾞﾝ</v>
      </c>
      <c r="H732" s="4" t="str">
        <f>"2013/03/01"</f>
        <v>2013/03/01</v>
      </c>
      <c r="I732" s="6">
        <v>14333</v>
      </c>
      <c r="J732" s="8">
        <v>500</v>
      </c>
      <c r="K732" s="4" t="str">
        <f t="shared" si="39"/>
        <v>1  和書</v>
      </c>
      <c r="L732" s="7"/>
    </row>
    <row r="733" spans="1:12" ht="24" x14ac:dyDescent="0.15">
      <c r="A733" s="36">
        <v>732</v>
      </c>
      <c r="B733" s="3" t="s">
        <v>39</v>
      </c>
      <c r="C733" s="10" t="str">
        <f>"0001936575"</f>
        <v>0001936575</v>
      </c>
      <c r="D733" s="11" t="str">
        <f>"New and old wars : organized violence in a global era : with an afterword, January 2001 / Mary Kaldor ; : pbk.-- Stanford University Press; 2001."</f>
        <v>New and old wars : organized violence in a global era : with an afterword, January 2001 / Mary Kaldor ; : pbk.-- Stanford University Press; 2001.</v>
      </c>
      <c r="E733" s="11" t="str">
        <f>": pbk"</f>
        <v>: pbk</v>
      </c>
      <c r="F733" s="28" t="s">
        <v>8</v>
      </c>
      <c r="G733" s="29" t="str">
        <f>"319.8/KA"</f>
        <v>319.8/KA</v>
      </c>
      <c r="H733" s="10" t="str">
        <f>"2003/02/13"</f>
        <v>2003/02/13</v>
      </c>
      <c r="I733" s="12">
        <v>3000</v>
      </c>
      <c r="J733" s="12">
        <v>100</v>
      </c>
      <c r="K733" s="10" t="str">
        <f>"2  洋書"</f>
        <v>2  洋書</v>
      </c>
      <c r="L733" s="13"/>
    </row>
    <row r="734" spans="1:12" ht="36" x14ac:dyDescent="0.15">
      <c r="A734" s="36">
        <v>733</v>
      </c>
      <c r="B734" s="3" t="s">
        <v>39</v>
      </c>
      <c r="C734" s="10" t="str">
        <f>"0001938050"</f>
        <v>0001938050</v>
      </c>
      <c r="D734" s="11" t="str">
        <f>"Violence and its alternatives : an interdisciplinary reader / edited by Manfred B. Steger and Nancy S. Lind ; : pbk..-- 1st ed.-- St. Martin's Press; 1999."</f>
        <v>Violence and its alternatives : an interdisciplinary reader / edited by Manfred B. Steger and Nancy S. Lind ; : pbk..-- 1st ed.-- St. Martin's Press; 1999.</v>
      </c>
      <c r="E734" s="11" t="str">
        <f>": pbk."</f>
        <v>: pbk.</v>
      </c>
      <c r="F734" s="28" t="s">
        <v>8</v>
      </c>
      <c r="G734" s="29" t="str">
        <f>"319.8/ST"</f>
        <v>319.8/ST</v>
      </c>
      <c r="H734" s="10" t="str">
        <f>"2003/05/19"</f>
        <v>2003/05/19</v>
      </c>
      <c r="I734" s="12">
        <v>4900</v>
      </c>
      <c r="J734" s="12">
        <v>100</v>
      </c>
      <c r="K734" s="10" t="str">
        <f>"2  洋書"</f>
        <v>2  洋書</v>
      </c>
      <c r="L734" s="13"/>
    </row>
    <row r="735" spans="1:12" ht="24" x14ac:dyDescent="0.15">
      <c r="A735" s="36">
        <v>734</v>
      </c>
      <c r="B735" s="3" t="s">
        <v>40</v>
      </c>
      <c r="C735" s="4" t="str">
        <f>"0002270944"</f>
        <v>0002270944</v>
      </c>
      <c r="D735" s="5" t="str">
        <f>"Q&amp;A事例でわかるインターネットの法律問題 / 小林英明著.-- 中央経済社; 2001.4.-- (CK books)."</f>
        <v>Q&amp;A事例でわかるインターネットの法律問題 / 小林英明著.-- 中央経済社; 2001.4.-- (CK books).</v>
      </c>
      <c r="E735" s="5" t="str">
        <f>""</f>
        <v/>
      </c>
      <c r="F735" s="26"/>
      <c r="G735" s="27" t="str">
        <f>"320.4/ｺﾊﾞ"</f>
        <v>320.4/ｺﾊﾞ</v>
      </c>
      <c r="H735" s="4" t="str">
        <f>"2001/08/07"</f>
        <v>2001/08/07</v>
      </c>
      <c r="I735" s="6">
        <v>3591</v>
      </c>
      <c r="J735" s="6">
        <v>100</v>
      </c>
      <c r="K735" s="4" t="str">
        <f t="shared" si="39"/>
        <v>1  和書</v>
      </c>
      <c r="L735" s="7"/>
    </row>
    <row r="736" spans="1:12" ht="24" x14ac:dyDescent="0.15">
      <c r="A736" s="36">
        <v>735</v>
      </c>
      <c r="B736" s="3" t="s">
        <v>40</v>
      </c>
      <c r="C736" s="10" t="str">
        <f>"0001833706"</f>
        <v>0001833706</v>
      </c>
      <c r="D736" s="11" t="str">
        <f>"現代法社会学入門 / 棚瀬孝雄編.-- 法律文化社; 1994.2.-- (現代法双書)."</f>
        <v>現代法社会学入門 / 棚瀬孝雄編.-- 法律文化社; 1994.2.-- (現代法双書).</v>
      </c>
      <c r="E736" s="11" t="str">
        <f>""</f>
        <v/>
      </c>
      <c r="F736" s="28" t="s">
        <v>8</v>
      </c>
      <c r="G736" s="29" t="str">
        <f>"321.3/ﾀﾅ"</f>
        <v>321.3/ﾀﾅ</v>
      </c>
      <c r="H736" s="10" t="str">
        <f>"1998/06/16"</f>
        <v>1998/06/16</v>
      </c>
      <c r="I736" s="12">
        <v>2740</v>
      </c>
      <c r="J736" s="12">
        <v>100</v>
      </c>
      <c r="K736" s="10" t="str">
        <f t="shared" si="39"/>
        <v>1  和書</v>
      </c>
      <c r="L736" s="13"/>
    </row>
    <row r="737" spans="1:12" ht="24" x14ac:dyDescent="0.15">
      <c r="A737" s="36">
        <v>736</v>
      </c>
      <c r="B737" s="3" t="s">
        <v>40</v>
      </c>
      <c r="C737" s="10" t="str">
        <f>"0001832839"</f>
        <v>0001832839</v>
      </c>
      <c r="D737" s="11" t="str">
        <f>"比較法史研究の課題 / 比較法史学会編.-- 比較法制研究所.-- (比較法史研究 : 思想・制度・社会 = Historia juris ; 1)."</f>
        <v>比較法史研究の課題 / 比較法史学会編.-- 比較法制研究所.-- (比較法史研究 : 思想・制度・社会 = Historia juris ; 1).</v>
      </c>
      <c r="E737" s="11" t="str">
        <f>""</f>
        <v/>
      </c>
      <c r="F737" s="28" t="s">
        <v>8</v>
      </c>
      <c r="G737" s="29" t="str">
        <f>"321.9/ﾋｶ/1"</f>
        <v>321.9/ﾋｶ/1</v>
      </c>
      <c r="H737" s="10" t="str">
        <f>"1998/06/23"</f>
        <v>1998/06/23</v>
      </c>
      <c r="I737" s="12">
        <v>4540</v>
      </c>
      <c r="J737" s="12">
        <v>100</v>
      </c>
      <c r="K737" s="10" t="str">
        <f t="shared" si="39"/>
        <v>1  和書</v>
      </c>
      <c r="L737" s="13"/>
    </row>
    <row r="738" spans="1:12" ht="24" x14ac:dyDescent="0.15">
      <c r="A738" s="36">
        <v>737</v>
      </c>
      <c r="B738" s="3" t="s">
        <v>40</v>
      </c>
      <c r="C738" s="4" t="str">
        <f>"9100015037"</f>
        <v>9100015037</v>
      </c>
      <c r="D738" s="5" t="str">
        <f>"新解説世界憲法集 / 初宿正典, 辻村みよ子編.-- 第2版.-- 三省堂; 2010.4."</f>
        <v>新解説世界憲法集 / 初宿正典, 辻村みよ子編.-- 第2版.-- 三省堂; 2010.4.</v>
      </c>
      <c r="E738" s="5" t="str">
        <f>""</f>
        <v/>
      </c>
      <c r="F738" s="26"/>
      <c r="G738" s="27" t="str">
        <f>"323/ｼﾔ"</f>
        <v>323/ｼﾔ</v>
      </c>
      <c r="H738" s="4" t="str">
        <f>"2011/12/01"</f>
        <v>2011/12/01</v>
      </c>
      <c r="I738" s="6">
        <v>2268</v>
      </c>
      <c r="J738" s="6">
        <v>100</v>
      </c>
      <c r="K738" s="4" t="str">
        <f t="shared" si="39"/>
        <v>1  和書</v>
      </c>
      <c r="L738" s="7"/>
    </row>
    <row r="739" spans="1:12" ht="24" x14ac:dyDescent="0.15">
      <c r="A739" s="36">
        <v>738</v>
      </c>
      <c r="B739" s="3" t="s">
        <v>40</v>
      </c>
      <c r="C739" s="10" t="str">
        <f>"0002150536"</f>
        <v>0002150536</v>
      </c>
      <c r="D739" s="11" t="str">
        <f>"人権論の新展開 / 高見勝利編.-- 北海道大学図書刊行会; 1999.2.-- (北海道大学法学部ライブラリー ; 1)."</f>
        <v>人権論の新展開 / 高見勝利編.-- 北海道大学図書刊行会; 1999.2.-- (北海道大学法学部ライブラリー ; 1).</v>
      </c>
      <c r="E739" s="11" t="str">
        <f>""</f>
        <v/>
      </c>
      <c r="F739" s="28" t="s">
        <v>8</v>
      </c>
      <c r="G739" s="29" t="str">
        <f>"323.01/ﾀｶ"</f>
        <v>323.01/ﾀｶ</v>
      </c>
      <c r="H739" s="10" t="str">
        <f>"2000/04/28"</f>
        <v>2000/04/28</v>
      </c>
      <c r="I739" s="12">
        <v>4536</v>
      </c>
      <c r="J739" s="12">
        <v>100</v>
      </c>
      <c r="K739" s="10" t="str">
        <f t="shared" si="39"/>
        <v>1  和書</v>
      </c>
      <c r="L739" s="13"/>
    </row>
    <row r="740" spans="1:12" ht="24" x14ac:dyDescent="0.15">
      <c r="A740" s="36">
        <v>739</v>
      </c>
      <c r="B740" s="3" t="s">
        <v>40</v>
      </c>
      <c r="C740" s="4" t="str">
        <f>"0001977363"</f>
        <v>0001977363</v>
      </c>
      <c r="D740" s="5" t="str">
        <f>"立憲主義と日本国憲法 = Constitutionalism and the constitution of Japan / 高橋和之著.-- 第3版.-- 有斐閣; 2013.9."</f>
        <v>立憲主義と日本国憲法 = Constitutionalism and the constitution of Japan / 高橋和之著.-- 第3版.-- 有斐閣; 2013.9.</v>
      </c>
      <c r="E740" s="5" t="str">
        <f>""</f>
        <v/>
      </c>
      <c r="F740" s="26"/>
      <c r="G740" s="27" t="str">
        <f>"323.14/ﾀｶ"</f>
        <v>323.14/ﾀｶ</v>
      </c>
      <c r="H740" s="4" t="str">
        <f>"2016/03/18"</f>
        <v>2016/03/18</v>
      </c>
      <c r="I740" s="6">
        <v>2916</v>
      </c>
      <c r="J740" s="6">
        <v>100</v>
      </c>
      <c r="K740" s="4" t="str">
        <f t="shared" si="39"/>
        <v>1  和書</v>
      </c>
      <c r="L740" s="7"/>
    </row>
    <row r="741" spans="1:12" x14ac:dyDescent="0.15">
      <c r="A741" s="36">
        <v>740</v>
      </c>
      <c r="B741" s="3" t="s">
        <v>40</v>
      </c>
      <c r="C741" s="10" t="str">
        <f>"9100012821"</f>
        <v>9100012821</v>
      </c>
      <c r="D741" s="11" t="str">
        <f>"憲法 / 野中俊彦 [ほか] 著 ; 1, 2.-- 第4版.-- 有斐閣; 2006.3."</f>
        <v>憲法 / 野中俊彦 [ほか] 著 ; 1, 2.-- 第4版.-- 有斐閣; 2006.3.</v>
      </c>
      <c r="E741" s="11" t="str">
        <f>"2"</f>
        <v>2</v>
      </c>
      <c r="F741" s="28" t="s">
        <v>8</v>
      </c>
      <c r="G741" s="29" t="str">
        <f>"323.14/ﾉﾅ/2"</f>
        <v>323.14/ﾉﾅ/2</v>
      </c>
      <c r="H741" s="10" t="str">
        <f>"2011/07/05"</f>
        <v>2011/07/05</v>
      </c>
      <c r="I741" s="12">
        <v>2551</v>
      </c>
      <c r="J741" s="12">
        <v>100</v>
      </c>
      <c r="K741" s="10" t="str">
        <f t="shared" si="39"/>
        <v>1  和書</v>
      </c>
      <c r="L741" s="13"/>
    </row>
    <row r="742" spans="1:12" ht="24" x14ac:dyDescent="0.15">
      <c r="A742" s="36">
        <v>741</v>
      </c>
      <c r="B742" s="3" t="s">
        <v>40</v>
      </c>
      <c r="C742" s="10" t="str">
        <f>"0000678742"</f>
        <v>0000678742</v>
      </c>
      <c r="D742" s="11" t="str">
        <f>"公物営造物法 / 原龍之助著.-- 新版再版(増補).-- 有斐閣; 1982.5.-- (法律学全集 ; 13-2)."</f>
        <v>公物営造物法 / 原龍之助著.-- 新版再版(増補).-- 有斐閣; 1982.5.-- (法律学全集 ; 13-2).</v>
      </c>
      <c r="E742" s="11" t="str">
        <f>""</f>
        <v/>
      </c>
      <c r="F742" s="28" t="s">
        <v>8</v>
      </c>
      <c r="G742" s="29" t="str">
        <f>"323.94/ﾊﾗ"</f>
        <v>323.94/ﾊﾗ</v>
      </c>
      <c r="H742" s="10" t="str">
        <f>"1995/03/31"</f>
        <v>1995/03/31</v>
      </c>
      <c r="I742" s="12">
        <v>4466</v>
      </c>
      <c r="J742" s="12">
        <v>100</v>
      </c>
      <c r="K742" s="10" t="str">
        <f t="shared" si="39"/>
        <v>1  和書</v>
      </c>
      <c r="L742" s="13"/>
    </row>
    <row r="743" spans="1:12" ht="24" x14ac:dyDescent="0.15">
      <c r="A743" s="36">
        <v>742</v>
      </c>
      <c r="B743" s="3" t="s">
        <v>40</v>
      </c>
      <c r="C743" s="10" t="str">
        <f>"0000678957"</f>
        <v>0000678957</v>
      </c>
      <c r="D743" s="11" t="str">
        <f>"公用負担法 / 柳瀬良幹著.-- 新版.-- 有斐閣; 1971.11.-- (法律学全集 ; 14)."</f>
        <v>公用負担法 / 柳瀬良幹著.-- 新版.-- 有斐閣; 1971.11.-- (法律学全集 ; 14).</v>
      </c>
      <c r="E743" s="11" t="str">
        <f>""</f>
        <v/>
      </c>
      <c r="F743" s="28" t="s">
        <v>8</v>
      </c>
      <c r="G743" s="29" t="str">
        <f>"323.97/ﾔﾅ"</f>
        <v>323.97/ﾔﾅ</v>
      </c>
      <c r="H743" s="10" t="str">
        <f>"1995/03/31"</f>
        <v>1995/03/31</v>
      </c>
      <c r="I743" s="12">
        <v>1595</v>
      </c>
      <c r="J743" s="12">
        <v>100</v>
      </c>
      <c r="K743" s="10" t="str">
        <f t="shared" si="39"/>
        <v>1  和書</v>
      </c>
      <c r="L743" s="13"/>
    </row>
    <row r="744" spans="1:12" x14ac:dyDescent="0.15">
      <c r="A744" s="36">
        <v>743</v>
      </c>
      <c r="B744" s="3" t="s">
        <v>40</v>
      </c>
      <c r="C744" s="10" t="str">
        <f>"0000724821"</f>
        <v>0000724821</v>
      </c>
      <c r="D744" s="11" t="str">
        <f>"民法総則 / 川島武宜著.-- 有斐閣; 1965.10.-- (法律学全集 ; 17)."</f>
        <v>民法総則 / 川島武宜著.-- 有斐閣; 1965.10.-- (法律学全集 ; 17).</v>
      </c>
      <c r="E744" s="11" t="str">
        <f>""</f>
        <v/>
      </c>
      <c r="F744" s="28" t="s">
        <v>8</v>
      </c>
      <c r="G744" s="29" t="str">
        <f>"324.1/ｶﾜ"</f>
        <v>324.1/ｶﾜ</v>
      </c>
      <c r="H744" s="10" t="str">
        <f>"1995/03/31"</f>
        <v>1995/03/31</v>
      </c>
      <c r="I744" s="12">
        <v>4365</v>
      </c>
      <c r="J744" s="12">
        <v>100</v>
      </c>
      <c r="K744" s="10" t="str">
        <f t="shared" si="39"/>
        <v>1  和書</v>
      </c>
      <c r="L744" s="13"/>
    </row>
    <row r="745" spans="1:12" x14ac:dyDescent="0.15">
      <c r="A745" s="36">
        <v>744</v>
      </c>
      <c r="B745" s="3" t="s">
        <v>40</v>
      </c>
      <c r="C745" s="10" t="str">
        <f>"0000724296"</f>
        <v>0000724296</v>
      </c>
      <c r="D745" s="11" t="str">
        <f>"物権法 / 舟橋諄一著.-- 有斐閣; 1960.12.-- (法律学全集 ; 18)."</f>
        <v>物権法 / 舟橋諄一著.-- 有斐閣; 1960.12.-- (法律学全集 ; 18).</v>
      </c>
      <c r="E745" s="11" t="str">
        <f>""</f>
        <v/>
      </c>
      <c r="F745" s="28" t="s">
        <v>8</v>
      </c>
      <c r="G745" s="29" t="str">
        <f>"324.2/ﾌﾅ"</f>
        <v>324.2/ﾌﾅ</v>
      </c>
      <c r="H745" s="10" t="str">
        <f>"1995/03/31"</f>
        <v>1995/03/31</v>
      </c>
      <c r="I745" s="12">
        <v>2686</v>
      </c>
      <c r="J745" s="12">
        <v>100</v>
      </c>
      <c r="K745" s="10" t="str">
        <f t="shared" si="39"/>
        <v>1  和書</v>
      </c>
      <c r="L745" s="13"/>
    </row>
    <row r="746" spans="1:12" ht="24" x14ac:dyDescent="0.15">
      <c r="A746" s="36">
        <v>745</v>
      </c>
      <c r="B746" s="3" t="s">
        <v>40</v>
      </c>
      <c r="C746" s="10" t="str">
        <f>"0000729161"</f>
        <v>0000729161</v>
      </c>
      <c r="D746" s="11" t="str">
        <f>"担保物権法 / 柚木馨, 高木多喜男著.-- 第3版.-- 有斐閣; 1982.9.-- (法律学全集 ; 19)."</f>
        <v>担保物権法 / 柚木馨, 高木多喜男著.-- 第3版.-- 有斐閣; 1982.9.-- (法律学全集 ; 19).</v>
      </c>
      <c r="E746" s="11" t="str">
        <f>""</f>
        <v/>
      </c>
      <c r="F746" s="28" t="s">
        <v>8</v>
      </c>
      <c r="G746" s="29" t="str">
        <f>"324.3/ﾕﾉ"</f>
        <v>324.3/ﾕﾉ</v>
      </c>
      <c r="H746" s="10" t="str">
        <f>"1995/03/31"</f>
        <v>1995/03/31</v>
      </c>
      <c r="I746" s="12">
        <v>3358</v>
      </c>
      <c r="J746" s="12">
        <v>100</v>
      </c>
      <c r="K746" s="10" t="str">
        <f t="shared" si="39"/>
        <v>1  和書</v>
      </c>
      <c r="L746" s="13"/>
    </row>
    <row r="747" spans="1:12" ht="24" x14ac:dyDescent="0.15">
      <c r="A747" s="36">
        <v>746</v>
      </c>
      <c r="B747" s="3" t="s">
        <v>40</v>
      </c>
      <c r="C747" s="10" t="str">
        <f>"0001119312"</f>
        <v>0001119312</v>
      </c>
      <c r="D747" s="11" t="str">
        <f>"債権総論 / 於保不二雄著.-- 新版.-- 有斐閣; 1972.4.-- (法律学全集 ; 20)."</f>
        <v>債権総論 / 於保不二雄著.-- 新版.-- 有斐閣; 1972.4.-- (法律学全集 ; 20).</v>
      </c>
      <c r="E747" s="11" t="str">
        <f>""</f>
        <v/>
      </c>
      <c r="F747" s="28" t="s">
        <v>8</v>
      </c>
      <c r="G747" s="29" t="str">
        <f>"324.4/ｵﾎ"</f>
        <v>324.4/ｵﾎ</v>
      </c>
      <c r="H747" s="10" t="str">
        <f>"1996/03/29"</f>
        <v>1996/03/29</v>
      </c>
      <c r="I747" s="12">
        <v>4079</v>
      </c>
      <c r="J747" s="12">
        <v>100</v>
      </c>
      <c r="K747" s="10" t="str">
        <f t="shared" si="39"/>
        <v>1  和書</v>
      </c>
      <c r="L747" s="13"/>
    </row>
    <row r="748" spans="1:12" ht="24" x14ac:dyDescent="0.15">
      <c r="A748" s="36">
        <v>747</v>
      </c>
      <c r="B748" s="3" t="s">
        <v>40</v>
      </c>
      <c r="C748" s="10" t="str">
        <f>"0000701174"</f>
        <v>0000701174</v>
      </c>
      <c r="D748" s="11" t="str">
        <f>"不法行為 / 加藤一郎著.-- 増補版.-- 有斐閣; 1974.10.-- (法律学全集 ; 22-2)."</f>
        <v>不法行為 / 加藤一郎著.-- 増補版.-- 有斐閣; 1974.10.-- (法律学全集 ; 22-2).</v>
      </c>
      <c r="E748" s="11" t="str">
        <f>""</f>
        <v/>
      </c>
      <c r="F748" s="28" t="s">
        <v>8</v>
      </c>
      <c r="G748" s="29" t="str">
        <f>"324.55/ｶﾄ"</f>
        <v>324.55/ｶﾄ</v>
      </c>
      <c r="H748" s="10" t="str">
        <f t="shared" ref="H748:H753" si="41">"1995/03/31"</f>
        <v>1995/03/31</v>
      </c>
      <c r="I748" s="12">
        <v>3081</v>
      </c>
      <c r="J748" s="12">
        <v>100</v>
      </c>
      <c r="K748" s="10" t="str">
        <f t="shared" si="39"/>
        <v>1  和書</v>
      </c>
      <c r="L748" s="13"/>
    </row>
    <row r="749" spans="1:12" ht="24" x14ac:dyDescent="0.15">
      <c r="A749" s="36">
        <v>748</v>
      </c>
      <c r="B749" s="3" t="s">
        <v>40</v>
      </c>
      <c r="C749" s="10" t="str">
        <f>"0000729529"</f>
        <v>0000729529</v>
      </c>
      <c r="D749" s="11" t="str">
        <f>"英米民事法の研究 / 塚本重頼著.-- 中央大学出版部; 1987.1.-- (日本比較法研究所研究叢書 ; 8)."</f>
        <v>英米民事法の研究 / 塚本重頼著.-- 中央大学出版部; 1987.1.-- (日本比較法研究所研究叢書 ; 8).</v>
      </c>
      <c r="E749" s="11" t="str">
        <f>""</f>
        <v/>
      </c>
      <c r="F749" s="28" t="s">
        <v>8</v>
      </c>
      <c r="G749" s="29" t="str">
        <f>"324.93/ﾂｶ"</f>
        <v>324.93/ﾂｶ</v>
      </c>
      <c r="H749" s="10" t="str">
        <f t="shared" si="41"/>
        <v>1995/03/31</v>
      </c>
      <c r="I749" s="12">
        <v>816</v>
      </c>
      <c r="J749" s="12">
        <v>100</v>
      </c>
      <c r="K749" s="10" t="str">
        <f t="shared" si="39"/>
        <v>1  和書</v>
      </c>
      <c r="L749" s="13"/>
    </row>
    <row r="750" spans="1:12" x14ac:dyDescent="0.15">
      <c r="A750" s="36">
        <v>749</v>
      </c>
      <c r="B750" s="3" t="s">
        <v>40</v>
      </c>
      <c r="C750" s="10" t="str">
        <f>"0000728676"</f>
        <v>0000728676</v>
      </c>
      <c r="D750" s="11" t="str">
        <f>"社債法 / 鴻常夫著.-- 復刻版.-- 有斐閣; 1990.9.-- (法律学全集 ; 33-1)."</f>
        <v>社債法 / 鴻常夫著.-- 復刻版.-- 有斐閣; 1990.9.-- (法律学全集 ; 33-1).</v>
      </c>
      <c r="E750" s="11" t="str">
        <f>""</f>
        <v/>
      </c>
      <c r="F750" s="28" t="s">
        <v>8</v>
      </c>
      <c r="G750" s="29" t="str">
        <f>"325.24/ｵｵ"</f>
        <v>325.24/ｵｵ</v>
      </c>
      <c r="H750" s="10" t="str">
        <f t="shared" si="41"/>
        <v>1995/03/31</v>
      </c>
      <c r="I750" s="12">
        <v>1931</v>
      </c>
      <c r="J750" s="12">
        <v>100</v>
      </c>
      <c r="K750" s="10" t="str">
        <f t="shared" si="39"/>
        <v>1  和書</v>
      </c>
      <c r="L750" s="13"/>
    </row>
    <row r="751" spans="1:12" x14ac:dyDescent="0.15">
      <c r="A751" s="36">
        <v>750</v>
      </c>
      <c r="B751" s="3" t="s">
        <v>40</v>
      </c>
      <c r="C751" s="10" t="str">
        <f>"0000724845"</f>
        <v>0000724845</v>
      </c>
      <c r="D751" s="11" t="str">
        <f>"商行為法 / 西原寛一著.-- 第3版.-- 有斐閣; 1973.-- (法律学全集 ; 29)."</f>
        <v>商行為法 / 西原寛一著.-- 第3版.-- 有斐閣; 1973.-- (法律学全集 ; 29).</v>
      </c>
      <c r="E751" s="11" t="str">
        <f>""</f>
        <v/>
      </c>
      <c r="F751" s="28" t="s">
        <v>8</v>
      </c>
      <c r="G751" s="29" t="str">
        <f>"325.3/ﾆｼ"</f>
        <v>325.3/ﾆｼ</v>
      </c>
      <c r="H751" s="10" t="str">
        <f t="shared" si="41"/>
        <v>1995/03/31</v>
      </c>
      <c r="I751" s="12">
        <v>2686</v>
      </c>
      <c r="J751" s="12">
        <v>100</v>
      </c>
      <c r="K751" s="10" t="str">
        <f t="shared" si="39"/>
        <v>1  和書</v>
      </c>
      <c r="L751" s="13"/>
    </row>
    <row r="752" spans="1:12" ht="24" x14ac:dyDescent="0.15">
      <c r="A752" s="36">
        <v>751</v>
      </c>
      <c r="B752" s="3" t="s">
        <v>40</v>
      </c>
      <c r="C752" s="10" t="str">
        <f>"0000723367"</f>
        <v>0000723367</v>
      </c>
      <c r="D752" s="11" t="str">
        <f>"保険法 / 大森忠夫著 ; [オンデマンド版].-- 補訂版.-- 有斐閣; 1985.9.-- (法律学全集 ; 31)."</f>
        <v>保険法 / 大森忠夫著 ; [オンデマンド版].-- 補訂版.-- 有斐閣; 1985.9.-- (法律学全集 ; 31).</v>
      </c>
      <c r="E752" s="11" t="str">
        <f>""</f>
        <v/>
      </c>
      <c r="F752" s="28" t="s">
        <v>8</v>
      </c>
      <c r="G752" s="29" t="str">
        <f>"325.4/ｵｵ"</f>
        <v>325.4/ｵｵ</v>
      </c>
      <c r="H752" s="10" t="str">
        <f t="shared" si="41"/>
        <v>1995/03/31</v>
      </c>
      <c r="I752" s="12">
        <v>3358</v>
      </c>
      <c r="J752" s="12">
        <v>100</v>
      </c>
      <c r="K752" s="10" t="str">
        <f t="shared" si="39"/>
        <v>1  和書</v>
      </c>
      <c r="L752" s="13"/>
    </row>
    <row r="753" spans="1:12" x14ac:dyDescent="0.15">
      <c r="A753" s="36">
        <v>752</v>
      </c>
      <c r="B753" s="3" t="s">
        <v>40</v>
      </c>
      <c r="C753" s="10" t="str">
        <f>"0000729512"</f>
        <v>0000729512</v>
      </c>
      <c r="D753" s="11" t="str">
        <f>"コンメンタール手形法 / 田中誠二 [ほか] 著.-- 勁草書房; 1971.9."</f>
        <v>コンメンタール手形法 / 田中誠二 [ほか] 著.-- 勁草書房; 1971.9.</v>
      </c>
      <c r="E753" s="11" t="str">
        <f>""</f>
        <v/>
      </c>
      <c r="F753" s="28" t="s">
        <v>8</v>
      </c>
      <c r="G753" s="29" t="str">
        <f>"325.61/ﾀﾅ"</f>
        <v>325.61/ﾀﾅ</v>
      </c>
      <c r="H753" s="10" t="str">
        <f t="shared" si="41"/>
        <v>1995/03/31</v>
      </c>
      <c r="I753" s="12">
        <v>4890</v>
      </c>
      <c r="J753" s="12">
        <v>100</v>
      </c>
      <c r="K753" s="10" t="str">
        <f t="shared" si="39"/>
        <v>1  和書</v>
      </c>
      <c r="L753" s="13"/>
    </row>
    <row r="754" spans="1:12" x14ac:dyDescent="0.15">
      <c r="A754" s="36">
        <v>753</v>
      </c>
      <c r="B754" s="3" t="s">
        <v>40</v>
      </c>
      <c r="C754" s="10" t="str">
        <f>"0000948265"</f>
        <v>0000948265</v>
      </c>
      <c r="D754" s="11" t="str">
        <f>"民事訴訟の比較統計的考察 / 林屋礼二著.-- 有斐閣; 1994.10."</f>
        <v>民事訴訟の比較統計的考察 / 林屋礼二著.-- 有斐閣; 1994.10.</v>
      </c>
      <c r="E754" s="11" t="str">
        <f>""</f>
        <v/>
      </c>
      <c r="F754" s="28" t="s">
        <v>8</v>
      </c>
      <c r="G754" s="29" t="str">
        <f>"327.2/ﾊﾔ"</f>
        <v>327.2/ﾊﾔ</v>
      </c>
      <c r="H754" s="10" t="str">
        <f>"1996/03/28"</f>
        <v>1996/03/28</v>
      </c>
      <c r="I754" s="12">
        <v>5260</v>
      </c>
      <c r="J754" s="12">
        <v>100</v>
      </c>
      <c r="K754" s="10" t="str">
        <f t="shared" si="39"/>
        <v>1  和書</v>
      </c>
      <c r="L754" s="13"/>
    </row>
    <row r="755" spans="1:12" x14ac:dyDescent="0.15">
      <c r="A755" s="36">
        <v>754</v>
      </c>
      <c r="B755" s="3" t="s">
        <v>40</v>
      </c>
      <c r="C755" s="10" t="str">
        <f>"0000307048"</f>
        <v>0000307048</v>
      </c>
      <c r="D755" s="11" t="str">
        <f>"民事訴訟法 / 三ケ月章著.-- 有斐閣; 1959.1.-- (法律学全集 ; 35)."</f>
        <v>民事訴訟法 / 三ケ月章著.-- 有斐閣; 1959.1.-- (法律学全集 ; 35).</v>
      </c>
      <c r="E755" s="11" t="str">
        <f>""</f>
        <v/>
      </c>
      <c r="F755" s="28" t="s">
        <v>8</v>
      </c>
      <c r="G755" s="29" t="str">
        <f>"327.2/ﾐｶ"</f>
        <v>327.2/ﾐｶ</v>
      </c>
      <c r="H755" s="10" t="str">
        <f>"1994/03/31"</f>
        <v>1994/03/31</v>
      </c>
      <c r="I755" s="12">
        <v>3324</v>
      </c>
      <c r="J755" s="12">
        <v>100</v>
      </c>
      <c r="K755" s="10" t="str">
        <f t="shared" si="39"/>
        <v>1  和書</v>
      </c>
      <c r="L755" s="13"/>
    </row>
    <row r="756" spans="1:12" ht="24" x14ac:dyDescent="0.15">
      <c r="A756" s="36">
        <v>755</v>
      </c>
      <c r="B756" s="3" t="s">
        <v>40</v>
      </c>
      <c r="C756" s="4" t="str">
        <f>"0003515075"</f>
        <v>0003515075</v>
      </c>
      <c r="D756" s="5" t="str">
        <f>"「家栽の人」から君への遺言 : 佐世保高一同級生殺害事件と少年法 / 毛利甚八著.-- 講談社; 2015.10."</f>
        <v>「家栽の人」から君への遺言 : 佐世保高一同級生殺害事件と少年法 / 毛利甚八著.-- 講談社; 2015.10.</v>
      </c>
      <c r="E756" s="5" t="str">
        <f>""</f>
        <v/>
      </c>
      <c r="F756" s="26"/>
      <c r="G756" s="27" t="str">
        <f>"327.8/ﾓｳ"</f>
        <v>327.8/ﾓｳ</v>
      </c>
      <c r="H756" s="4" t="str">
        <f>"2015/11/30"</f>
        <v>2015/11/30</v>
      </c>
      <c r="I756" s="6">
        <v>1652</v>
      </c>
      <c r="J756" s="6">
        <v>100</v>
      </c>
      <c r="K756" s="4" t="str">
        <f t="shared" si="39"/>
        <v>1  和書</v>
      </c>
      <c r="L756" s="7"/>
    </row>
    <row r="757" spans="1:12" ht="24" x14ac:dyDescent="0.15">
      <c r="A757" s="36">
        <v>756</v>
      </c>
      <c r="B757" s="3" t="s">
        <v>40</v>
      </c>
      <c r="C757" s="10" t="str">
        <f>"0002656212"</f>
        <v>0002656212</v>
      </c>
      <c r="D757" s="11" t="str">
        <f>"国際人権法とマイノリティの地位 / 金東勲著.-- 東信堂; 2003.6.-- (現代国際法叢書)."</f>
        <v>国際人権法とマイノリティの地位 / 金東勲著.-- 東信堂; 2003.6.-- (現代国際法叢書).</v>
      </c>
      <c r="E757" s="11" t="str">
        <f>""</f>
        <v/>
      </c>
      <c r="F757" s="28" t="s">
        <v>8</v>
      </c>
      <c r="G757" s="29" t="str">
        <f>"329.21/ｷﾑ"</f>
        <v>329.21/ｷﾑ</v>
      </c>
      <c r="H757" s="10" t="str">
        <f>"2004/02/12"</f>
        <v>2004/02/12</v>
      </c>
      <c r="I757" s="12">
        <v>3591</v>
      </c>
      <c r="J757" s="12">
        <v>100</v>
      </c>
      <c r="K757" s="10" t="str">
        <f t="shared" si="39"/>
        <v>1  和書</v>
      </c>
      <c r="L757" s="13"/>
    </row>
    <row r="758" spans="1:12" ht="48" x14ac:dyDescent="0.15">
      <c r="A758" s="36">
        <v>757</v>
      </c>
      <c r="B758" s="3" t="s">
        <v>40</v>
      </c>
      <c r="C758" s="4" t="str">
        <f>"9200006270"</f>
        <v>9200006270</v>
      </c>
      <c r="D758" s="5" t="str">
        <f>"The Charter of the United Nations : a commentary / edited by Bruno Simma ; in collaboration with Hermann Mosler ... [et al.] ; assistant editors, Andreas Paulus, Eleni Chaitidou ; : set, v. 1, v. 2.-- 2nd ed.-- Oxford University Press; 2002."</f>
        <v>The Charter of the United Nations : a commentary / edited by Bruno Simma ; in collaboration with Hermann Mosler ... [et al.] ; assistant editors, Andreas Paulus, Eleni Chaitidou ; : set, v. 1, v. 2.-- 2nd ed.-- Oxford University Press; 2002.</v>
      </c>
      <c r="E758" s="5" t="str">
        <f>"v. 1"</f>
        <v>v. 1</v>
      </c>
      <c r="F758" s="26"/>
      <c r="G758" s="27" t="str">
        <f>"R329.33/SI/1"</f>
        <v>R329.33/SI/1</v>
      </c>
      <c r="H758" s="4" t="str">
        <f>"2010/11/05"</f>
        <v>2010/11/05</v>
      </c>
      <c r="I758" s="6">
        <v>24623</v>
      </c>
      <c r="J758" s="8">
        <v>1000</v>
      </c>
      <c r="K758" s="4" t="str">
        <f>"2  洋書"</f>
        <v>2  洋書</v>
      </c>
      <c r="L758" s="7"/>
    </row>
    <row r="759" spans="1:12" ht="24" x14ac:dyDescent="0.15">
      <c r="A759" s="36">
        <v>758</v>
      </c>
      <c r="B759" s="3" t="s">
        <v>40</v>
      </c>
      <c r="C759" s="4" t="str">
        <f>"0003903629"</f>
        <v>0003903629</v>
      </c>
      <c r="D759" s="5" t="str">
        <f>"草創期の広島ユネスコ運動 : 短命に終わった運動の足跡をたどる / 宇野豪著.-- 宇野豪; 2008.3."</f>
        <v>草創期の広島ユネスコ運動 : 短命に終わった運動の足跡をたどる / 宇野豪著.-- 宇野豪; 2008.3.</v>
      </c>
      <c r="E759" s="5" t="str">
        <f>""</f>
        <v/>
      </c>
      <c r="F759" s="26"/>
      <c r="G759" s="27" t="str">
        <f>"329.34/ｳﾉ"</f>
        <v>329.34/ｳﾉ</v>
      </c>
      <c r="H759" s="4" t="str">
        <f>"2009/09/11"</f>
        <v>2009/09/11</v>
      </c>
      <c r="I759" s="6">
        <v>1</v>
      </c>
      <c r="J759" s="6">
        <v>100</v>
      </c>
      <c r="K759" s="4" t="str">
        <f>"1  和書"</f>
        <v>1  和書</v>
      </c>
      <c r="L759" s="7"/>
    </row>
    <row r="760" spans="1:12" ht="36" x14ac:dyDescent="0.15">
      <c r="A760" s="36">
        <v>759</v>
      </c>
      <c r="B760" s="3" t="s">
        <v>40</v>
      </c>
      <c r="C760" s="4" t="str">
        <f>"0002487830"</f>
        <v>0002487830</v>
      </c>
      <c r="D760" s="5" t="str">
        <f>"NGO運営の基礎知識 : 市民活動のための実践ガイドブック : 市民社会の明日を担う人材育成トレーニング : 人集めから資金調達まで団体運営のノウハウを紹介 / A SEED Japan, POWER共編.-- アルク; 1998.8."</f>
        <v>NGO運営の基礎知識 : 市民活動のための実践ガイドブック : 市民社会の明日を担う人材育成トレーニング : 人集めから資金調達まで団体運営のノウハウを紹介 / A SEED Japan, POWER共編.-- アルク; 1998.8.</v>
      </c>
      <c r="E760" s="5" t="str">
        <f>""</f>
        <v/>
      </c>
      <c r="F760" s="26"/>
      <c r="G760" s="27" t="str">
        <f>"329.36/ｴﾇ"</f>
        <v>329.36/ｴﾇ</v>
      </c>
      <c r="H760" s="4" t="str">
        <f>"2002/05/08"</f>
        <v>2002/05/08</v>
      </c>
      <c r="I760" s="6">
        <v>2362</v>
      </c>
      <c r="J760" s="6">
        <v>100</v>
      </c>
      <c r="K760" s="4" t="str">
        <f>"1  和書"</f>
        <v>1  和書</v>
      </c>
      <c r="L760" s="7"/>
    </row>
    <row r="761" spans="1:12" ht="24" x14ac:dyDescent="0.15">
      <c r="A761" s="36">
        <v>760</v>
      </c>
      <c r="B761" s="3" t="s">
        <v>40</v>
      </c>
      <c r="C761" s="4" t="str">
        <f>"0002629490"</f>
        <v>0002629490</v>
      </c>
      <c r="D761" s="5" t="str">
        <f>"政府開発援助(ODA)白書 / 外務省編 ; 2001年版, 2006年版.-- 財務省印刷局; 2002-."</f>
        <v>政府開発援助(ODA)白書 / 外務省編 ; 2001年版, 2006年版.-- 財務省印刷局; 2002-.</v>
      </c>
      <c r="E761" s="5" t="str">
        <f>"2001年版"</f>
        <v>2001年版</v>
      </c>
      <c r="F761" s="26"/>
      <c r="G761" s="27" t="str">
        <f>"R329.39/ｶﾞｲ/01"</f>
        <v>R329.39/ｶﾞｲ/01</v>
      </c>
      <c r="H761" s="4" t="str">
        <f>"2003/05/01"</f>
        <v>2003/05/01</v>
      </c>
      <c r="I761" s="6">
        <v>2835</v>
      </c>
      <c r="J761" s="6">
        <v>100</v>
      </c>
      <c r="K761" s="4" t="str">
        <f>"1  和書"</f>
        <v>1  和書</v>
      </c>
      <c r="L761" s="7"/>
    </row>
    <row r="762" spans="1:12" ht="24" x14ac:dyDescent="0.15">
      <c r="A762" s="36">
        <v>761</v>
      </c>
      <c r="B762" s="3" t="s">
        <v>40</v>
      </c>
      <c r="C762" s="4" t="str">
        <f>"0002629506"</f>
        <v>0002629506</v>
      </c>
      <c r="D762" s="5" t="str">
        <f>"政府開発援助(ODA)国別データブック / 外務省経済協力局編 ; 2001 - 2015.-- 国際協力推進協会; 2002.7-."</f>
        <v>政府開発援助(ODA)国別データブック / 外務省経済協力局編 ; 2001 - 2015.-- 国際協力推進協会; 2002.7-.</v>
      </c>
      <c r="E762" s="5" t="str">
        <f>"2001"</f>
        <v>2001</v>
      </c>
      <c r="F762" s="26"/>
      <c r="G762" s="27" t="str">
        <f>"R329.39/ｶﾞｲ/01"</f>
        <v>R329.39/ｶﾞｲ/01</v>
      </c>
      <c r="H762" s="4" t="str">
        <f>"2003/05/01"</f>
        <v>2003/05/01</v>
      </c>
      <c r="I762" s="6">
        <v>2551</v>
      </c>
      <c r="J762" s="6">
        <v>100</v>
      </c>
      <c r="K762" s="4" t="str">
        <f>"1  和書"</f>
        <v>1  和書</v>
      </c>
      <c r="L762" s="7"/>
    </row>
    <row r="763" spans="1:12" ht="24" x14ac:dyDescent="0.15">
      <c r="A763" s="36">
        <v>762</v>
      </c>
      <c r="B763" s="3" t="s">
        <v>40</v>
      </c>
      <c r="C763" s="4" t="str">
        <f>"0003908013"</f>
        <v>0003908013</v>
      </c>
      <c r="D763" s="5" t="str">
        <f>"ヨーロッパ安全保障協力会議(CSCE) : 人権の国際化から民主化支援への発展過程の考察 / 吉川元著.-- 三嶺書房; 1994.11."</f>
        <v>ヨーロッパ安全保障協力会議(CSCE) : 人権の国際化から民主化支援への発展過程の考察 / 吉川元著.-- 三嶺書房; 1994.11.</v>
      </c>
      <c r="E763" s="5" t="str">
        <f>""</f>
        <v/>
      </c>
      <c r="F763" s="26"/>
      <c r="G763" s="27" t="str">
        <f>"329.48ｷﾂ"</f>
        <v>329.48ｷﾂ</v>
      </c>
      <c r="H763" s="4" t="str">
        <f>"2000/03/31"</f>
        <v>2000/03/31</v>
      </c>
      <c r="I763" s="6">
        <v>1</v>
      </c>
      <c r="J763" s="6">
        <v>100</v>
      </c>
      <c r="K763" s="4" t="str">
        <f>"1  和書"</f>
        <v>1  和書</v>
      </c>
      <c r="L763" s="7"/>
    </row>
    <row r="764" spans="1:12" ht="36" x14ac:dyDescent="0.15">
      <c r="A764" s="36">
        <v>763</v>
      </c>
      <c r="B764" s="3" t="s">
        <v>40</v>
      </c>
      <c r="C764" s="10" t="str">
        <f>"0001935639"</f>
        <v>0001935639</v>
      </c>
      <c r="D764" s="11" t="str">
        <f>"Genocide in our time : an annotated bibliography with analytical introductions / by Michael N. Dobkowski and Isidor Wallimann.-- Pierian Press; 1992.-- (Resources on contemporary issues)."</f>
        <v>Genocide in our time : an annotated bibliography with analytical introductions / by Michael N. Dobkowski and Isidor Wallimann.-- Pierian Press; 1992.-- (Resources on contemporary issues).</v>
      </c>
      <c r="E764" s="11" t="str">
        <f>""</f>
        <v/>
      </c>
      <c r="F764" s="28" t="s">
        <v>8</v>
      </c>
      <c r="G764" s="29" t="str">
        <f>"329.7/DO"</f>
        <v>329.7/DO</v>
      </c>
      <c r="H764" s="10" t="str">
        <f>"2002/10/01"</f>
        <v>2002/10/01</v>
      </c>
      <c r="I764" s="12">
        <v>6480</v>
      </c>
      <c r="J764" s="12">
        <v>100</v>
      </c>
      <c r="K764" s="10" t="str">
        <f>"2  洋書"</f>
        <v>2  洋書</v>
      </c>
      <c r="L764" s="13"/>
    </row>
    <row r="765" spans="1:12" ht="24" x14ac:dyDescent="0.15">
      <c r="A765" s="36">
        <v>764</v>
      </c>
      <c r="B765" s="3" t="s">
        <v>41</v>
      </c>
      <c r="C765" s="4" t="str">
        <f>"0002186313"</f>
        <v>0002186313</v>
      </c>
      <c r="D765" s="5" t="str">
        <f>"有斐閣経済辞典 / 金森久雄, 荒憲治郎, 森口親司編.-- 第3版.-- 有斐閣; 1998.1."</f>
        <v>有斐閣経済辞典 / 金森久雄, 荒憲治郎, 森口親司編.-- 第3版.-- 有斐閣; 1998.1.</v>
      </c>
      <c r="E765" s="5" t="str">
        <f>""</f>
        <v/>
      </c>
      <c r="F765" s="26"/>
      <c r="G765" s="27" t="str">
        <f>"R330.33/ｶﾅ"</f>
        <v>R330.33/ｶﾅ</v>
      </c>
      <c r="H765" s="4" t="str">
        <f>"2001/02/15"</f>
        <v>2001/02/15</v>
      </c>
      <c r="I765" s="6">
        <v>3780</v>
      </c>
      <c r="J765" s="6">
        <v>100</v>
      </c>
      <c r="K765" s="4" t="str">
        <f t="shared" ref="K765:K828" si="42">"1  和書"</f>
        <v>1  和書</v>
      </c>
      <c r="L765" s="7"/>
    </row>
    <row r="766" spans="1:12" x14ac:dyDescent="0.15">
      <c r="A766" s="36">
        <v>765</v>
      </c>
      <c r="B766" s="3" t="s">
        <v>41</v>
      </c>
      <c r="C766" s="4" t="str">
        <f>"0002186368"</f>
        <v>0002186368</v>
      </c>
      <c r="D766" s="5" t="str">
        <f>"現代経済学辞典 / 小泉明 [ほか] 編.-- 青林書院新社; 1979.6."</f>
        <v>現代経済学辞典 / 小泉明 [ほか] 編.-- 青林書院新社; 1979.6.</v>
      </c>
      <c r="E766" s="5" t="str">
        <f>""</f>
        <v/>
      </c>
      <c r="F766" s="26"/>
      <c r="G766" s="27" t="str">
        <f>"R330.33/ｺｲ"</f>
        <v>R330.33/ｺｲ</v>
      </c>
      <c r="H766" s="4" t="str">
        <f>"2001/02/15"</f>
        <v>2001/02/15</v>
      </c>
      <c r="I766" s="6">
        <v>6426</v>
      </c>
      <c r="J766" s="6">
        <v>100</v>
      </c>
      <c r="K766" s="4" t="str">
        <f t="shared" si="42"/>
        <v>1  和書</v>
      </c>
      <c r="L766" s="7"/>
    </row>
    <row r="767" spans="1:12" ht="24" x14ac:dyDescent="0.15">
      <c r="A767" s="36">
        <v>766</v>
      </c>
      <c r="B767" s="3" t="s">
        <v>41</v>
      </c>
      <c r="C767" s="4" t="str">
        <f>"0003107973"</f>
        <v>0003107973</v>
      </c>
      <c r="D767" s="5" t="str">
        <f>"共生経済が始まる : 世界恐慌を生き抜く道 / 内橋克人著.-- 朝日新聞出版; 2009.3."</f>
        <v>共生経済が始まる : 世界恐慌を生き抜く道 / 内橋克人著.-- 朝日新聞出版; 2009.3.</v>
      </c>
      <c r="E767" s="5" t="str">
        <f>""</f>
        <v/>
      </c>
      <c r="F767" s="26"/>
      <c r="G767" s="27" t="str">
        <f>"330.4/ｳﾁ"</f>
        <v>330.4/ｳﾁ</v>
      </c>
      <c r="H767" s="4" t="str">
        <f>"2010/02/25"</f>
        <v>2010/02/25</v>
      </c>
      <c r="I767" s="6">
        <v>1417</v>
      </c>
      <c r="J767" s="6">
        <v>100</v>
      </c>
      <c r="K767" s="4" t="str">
        <f t="shared" si="42"/>
        <v>1  和書</v>
      </c>
      <c r="L767" s="7"/>
    </row>
    <row r="768" spans="1:12" ht="24" x14ac:dyDescent="0.15">
      <c r="A768" s="36">
        <v>767</v>
      </c>
      <c r="B768" s="3" t="s">
        <v>41</v>
      </c>
      <c r="C768" s="4" t="str">
        <f>"0002108629"</f>
        <v>0002108629</v>
      </c>
      <c r="D768" s="5" t="str">
        <f>"創造的発展への基礎固め / 経済企画庁編.-- 大蔵省印刷局; 1998.7.-- (経済白書 / 経済安定本部編 ; 平成10年版)."</f>
        <v>創造的発展への基礎固め / 経済企画庁編.-- 大蔵省印刷局; 1998.7.-- (経済白書 / 経済安定本部編 ; 平成10年版).</v>
      </c>
      <c r="E768" s="5" t="str">
        <f>""</f>
        <v/>
      </c>
      <c r="F768" s="26"/>
      <c r="G768" s="27" t="str">
        <f>"R330.59/ｹｲ/98"</f>
        <v>R330.59/ｹｲ/98</v>
      </c>
      <c r="H768" s="4" t="str">
        <f>"1999/06/18"</f>
        <v>1999/06/18</v>
      </c>
      <c r="I768" s="6">
        <v>945</v>
      </c>
      <c r="J768" s="6">
        <v>100</v>
      </c>
      <c r="K768" s="4" t="str">
        <f t="shared" si="42"/>
        <v>1  和書</v>
      </c>
      <c r="L768" s="7"/>
    </row>
    <row r="769" spans="1:12" ht="24" x14ac:dyDescent="0.15">
      <c r="A769" s="36">
        <v>768</v>
      </c>
      <c r="B769" s="3" t="s">
        <v>41</v>
      </c>
      <c r="C769" s="4" t="str">
        <f>"0002157948"</f>
        <v>0002157948</v>
      </c>
      <c r="D769" s="5" t="str">
        <f>"世界経済・社会統計 / 世界銀行編 ; 鳥居泰彦訳監修 ; 1997 - 2013・2014.-- 東洋書林; 1998.6-."</f>
        <v>世界経済・社会統計 / 世界銀行編 ; 鳥居泰彦訳監修 ; 1997 - 2013・2014.-- 東洋書林; 1998.6-.</v>
      </c>
      <c r="E769" s="5" t="str">
        <f>"1998"</f>
        <v>1998</v>
      </c>
      <c r="F769" s="26"/>
      <c r="G769" s="27" t="str">
        <f>"R330.59/ｾｶ/98"</f>
        <v>R330.59/ｾｶ/98</v>
      </c>
      <c r="H769" s="4" t="str">
        <f>"2000/05/30"</f>
        <v>2000/05/30</v>
      </c>
      <c r="I769" s="6">
        <v>26460</v>
      </c>
      <c r="J769" s="8">
        <v>1000</v>
      </c>
      <c r="K769" s="4" t="str">
        <f t="shared" si="42"/>
        <v>1  和書</v>
      </c>
      <c r="L769" s="7"/>
    </row>
    <row r="770" spans="1:12" ht="24" x14ac:dyDescent="0.15">
      <c r="A770" s="36">
        <v>769</v>
      </c>
      <c r="B770" s="3" t="s">
        <v>41</v>
      </c>
      <c r="C770" s="4" t="str">
        <f>"0002130767"</f>
        <v>0002130767</v>
      </c>
      <c r="D770" s="5" t="str">
        <f>"マクロ経済学 / 浅子和美, 加納悟, 倉澤資成共著.-- 新世社.-- (新経済学ライブラリ ; 3)."</f>
        <v>マクロ経済学 / 浅子和美, 加納悟, 倉澤資成共著.-- 新世社.-- (新経済学ライブラリ ; 3).</v>
      </c>
      <c r="E770" s="5" t="str">
        <f>""</f>
        <v/>
      </c>
      <c r="F770" s="26"/>
      <c r="G770" s="27" t="str">
        <f>"331/ｱｻ"</f>
        <v>331/ｱｻ</v>
      </c>
      <c r="H770" s="4" t="str">
        <f>"2000/02/03"</f>
        <v>2000/02/03</v>
      </c>
      <c r="I770" s="6">
        <v>2646</v>
      </c>
      <c r="J770" s="6">
        <v>100</v>
      </c>
      <c r="K770" s="4" t="str">
        <f t="shared" si="42"/>
        <v>1  和書</v>
      </c>
      <c r="L770" s="7"/>
    </row>
    <row r="771" spans="1:12" ht="24" x14ac:dyDescent="0.15">
      <c r="A771" s="36">
        <v>770</v>
      </c>
      <c r="B771" s="3" t="s">
        <v>41</v>
      </c>
      <c r="C771" s="4" t="str">
        <f>"0002469577"</f>
        <v>0002469577</v>
      </c>
      <c r="D771" s="5" t="str">
        <f>"新制度派経済学入門 : 制度・移行経済・経済開発 / ティモシー・J・イェーガー [著] ; 青山繁訳.-- 東洋経済新報社; 2001.3."</f>
        <v>新制度派経済学入門 : 制度・移行経済・経済開発 / ティモシー・J・イェーガー [著] ; 青山繁訳.-- 東洋経済新報社; 2001.3.</v>
      </c>
      <c r="E771" s="5" t="str">
        <f>""</f>
        <v/>
      </c>
      <c r="F771" s="26"/>
      <c r="G771" s="27" t="str">
        <f>"331/ｲｴ"</f>
        <v>331/ｲｴ</v>
      </c>
      <c r="H771" s="4" t="str">
        <f>"2001/11/19"</f>
        <v>2001/11/19</v>
      </c>
      <c r="I771" s="6">
        <v>2457</v>
      </c>
      <c r="J771" s="6">
        <v>100</v>
      </c>
      <c r="K771" s="4" t="str">
        <f t="shared" si="42"/>
        <v>1  和書</v>
      </c>
      <c r="L771" s="7"/>
    </row>
    <row r="772" spans="1:12" x14ac:dyDescent="0.15">
      <c r="A772" s="36">
        <v>771</v>
      </c>
      <c r="B772" s="3" t="s">
        <v>41</v>
      </c>
      <c r="C772" s="4" t="str">
        <f>"0000484015"</f>
        <v>0000484015</v>
      </c>
      <c r="D772" s="5" t="str">
        <f>"経済学を学ぶ / 岩田規久男著.-- 筑摩書房; 1994.9.-- (ちくま新書 ; 002)."</f>
        <v>経済学を学ぶ / 岩田規久男著.-- 筑摩書房; 1994.9.-- (ちくま新書 ; 002).</v>
      </c>
      <c r="E772" s="5" t="str">
        <f>""</f>
        <v/>
      </c>
      <c r="F772" s="26"/>
      <c r="G772" s="27" t="str">
        <f>"331/ｲﾜ"</f>
        <v>331/ｲﾜ</v>
      </c>
      <c r="H772" s="4" t="str">
        <f>"1994/09/20"</f>
        <v>1994/09/20</v>
      </c>
      <c r="I772" s="6">
        <v>612</v>
      </c>
      <c r="J772" s="6">
        <v>100</v>
      </c>
      <c r="K772" s="4" t="str">
        <f t="shared" si="42"/>
        <v>1  和書</v>
      </c>
      <c r="L772" s="7"/>
    </row>
    <row r="773" spans="1:12" x14ac:dyDescent="0.15">
      <c r="A773" s="36">
        <v>772</v>
      </c>
      <c r="B773" s="3" t="s">
        <v>41</v>
      </c>
      <c r="C773" s="4" t="str">
        <f>"0002693453"</f>
        <v>0002693453</v>
      </c>
      <c r="D773" s="5" t="str">
        <f>"現代の経済理論 / 岩井克人, 伊藤元重編.-- 東京大学出版会; 1994.3."</f>
        <v>現代の経済理論 / 岩井克人, 伊藤元重編.-- 東京大学出版会; 1994.3.</v>
      </c>
      <c r="E773" s="5" t="str">
        <f>""</f>
        <v/>
      </c>
      <c r="F773" s="26"/>
      <c r="G773" s="27" t="str">
        <f>"331/ｹﾞﾝ"</f>
        <v>331/ｹﾞﾝ</v>
      </c>
      <c r="H773" s="4" t="str">
        <f>"2005/10/12"</f>
        <v>2005/10/12</v>
      </c>
      <c r="I773" s="6">
        <v>3591</v>
      </c>
      <c r="J773" s="6">
        <v>100</v>
      </c>
      <c r="K773" s="4" t="str">
        <f t="shared" si="42"/>
        <v>1  和書</v>
      </c>
      <c r="L773" s="7"/>
    </row>
    <row r="774" spans="1:12" ht="24" x14ac:dyDescent="0.15">
      <c r="A774" s="36">
        <v>773</v>
      </c>
      <c r="B774" s="3" t="s">
        <v>41</v>
      </c>
      <c r="C774" s="4" t="str">
        <f>"0002610030"</f>
        <v>0002610030</v>
      </c>
      <c r="D774" s="5" t="str">
        <f>"マクロエコノミクス / ジェフリー・サックス, フィリップ・ラレーン著 ; 石井菜穂子, 伊藤隆敏訳 ; 上巻, 下巻.-- 日本評論社; 1996.6-1996.9."</f>
        <v>マクロエコノミクス / ジェフリー・サックス, フィリップ・ラレーン著 ; 石井菜穂子, 伊藤隆敏訳 ; 上巻, 下巻.-- 日本評論社; 1996.6-1996.9.</v>
      </c>
      <c r="E774" s="5" t="str">
        <f>"上巻"</f>
        <v>上巻</v>
      </c>
      <c r="F774" s="26"/>
      <c r="G774" s="27" t="str">
        <f>"331/ｻﾂ/1"</f>
        <v>331/ｻﾂ/1</v>
      </c>
      <c r="H774" s="4" t="str">
        <f>"2002/12/06"</f>
        <v>2002/12/06</v>
      </c>
      <c r="I774" s="6">
        <v>3591</v>
      </c>
      <c r="J774" s="6">
        <v>100</v>
      </c>
      <c r="K774" s="4" t="str">
        <f t="shared" si="42"/>
        <v>1  和書</v>
      </c>
      <c r="L774" s="7"/>
    </row>
    <row r="775" spans="1:12" ht="24" x14ac:dyDescent="0.15">
      <c r="A775" s="36">
        <v>774</v>
      </c>
      <c r="B775" s="3" t="s">
        <v>41</v>
      </c>
      <c r="C775" s="4" t="str">
        <f>"0002610047"</f>
        <v>0002610047</v>
      </c>
      <c r="D775" s="5" t="str">
        <f>"マクロエコノミクス / ジェフリー・サックス, フィリップ・ラレーン著 ; 石井菜穂子, 伊藤隆敏訳 ; 上巻, 下巻.-- 日本評論社; 1996.6-1996.9."</f>
        <v>マクロエコノミクス / ジェフリー・サックス, フィリップ・ラレーン著 ; 石井菜穂子, 伊藤隆敏訳 ; 上巻, 下巻.-- 日本評論社; 1996.6-1996.9.</v>
      </c>
      <c r="E775" s="5" t="str">
        <f>"下巻"</f>
        <v>下巻</v>
      </c>
      <c r="F775" s="26"/>
      <c r="G775" s="27" t="str">
        <f>"331/ｻﾂ/2"</f>
        <v>331/ｻﾂ/2</v>
      </c>
      <c r="H775" s="4" t="str">
        <f>"2002/12/06"</f>
        <v>2002/12/06</v>
      </c>
      <c r="I775" s="6">
        <v>3591</v>
      </c>
      <c r="J775" s="6">
        <v>100</v>
      </c>
      <c r="K775" s="4" t="str">
        <f t="shared" si="42"/>
        <v>1  和書</v>
      </c>
      <c r="L775" s="7"/>
    </row>
    <row r="776" spans="1:12" ht="24" x14ac:dyDescent="0.15">
      <c r="A776" s="36">
        <v>775</v>
      </c>
      <c r="B776" s="3" t="s">
        <v>41</v>
      </c>
      <c r="C776" s="4" t="str">
        <f>"0000834889"</f>
        <v>0000834889</v>
      </c>
      <c r="D776" s="5" t="str">
        <f>"経済システムと情報経済 : ミクロ経済の原理 / 武村昌介著.-- 森山書店; 1986.10."</f>
        <v>経済システムと情報経済 : ミクロ経済の原理 / 武村昌介著.-- 森山書店; 1986.10.</v>
      </c>
      <c r="E776" s="5" t="str">
        <f>""</f>
        <v/>
      </c>
      <c r="F776" s="26"/>
      <c r="G776" s="27" t="str">
        <f>"331/ﾀｹ"</f>
        <v>331/ﾀｹ</v>
      </c>
      <c r="H776" s="4" t="str">
        <f>"1995/04/14"</f>
        <v>1995/04/14</v>
      </c>
      <c r="I776" s="6">
        <v>2966</v>
      </c>
      <c r="J776" s="6">
        <v>100</v>
      </c>
      <c r="K776" s="4" t="str">
        <f t="shared" si="42"/>
        <v>1  和書</v>
      </c>
      <c r="L776" s="7"/>
    </row>
    <row r="777" spans="1:12" ht="24" x14ac:dyDescent="0.15">
      <c r="A777" s="36">
        <v>776</v>
      </c>
      <c r="B777" s="3" t="s">
        <v>41</v>
      </c>
      <c r="C777" s="4" t="str">
        <f>"0002130774"</f>
        <v>0002130774</v>
      </c>
      <c r="D777" s="5" t="str">
        <f>"ミクロ経済学 / 武隈愼一著.-- 増補版.-- 新世社.-- (新経済学ライブラリ ; 4)."</f>
        <v>ミクロ経済学 / 武隈愼一著.-- 増補版.-- 新世社.-- (新経済学ライブラリ ; 4).</v>
      </c>
      <c r="E777" s="5" t="str">
        <f>""</f>
        <v/>
      </c>
      <c r="F777" s="26"/>
      <c r="G777" s="27" t="str">
        <f>"331/ﾀｹ"</f>
        <v>331/ﾀｹ</v>
      </c>
      <c r="H777" s="4" t="str">
        <f>"2000/02/03"</f>
        <v>2000/02/03</v>
      </c>
      <c r="I777" s="6">
        <v>2693</v>
      </c>
      <c r="J777" s="6">
        <v>100</v>
      </c>
      <c r="K777" s="4" t="str">
        <f t="shared" si="42"/>
        <v>1  和書</v>
      </c>
      <c r="L777" s="7"/>
    </row>
    <row r="778" spans="1:12" x14ac:dyDescent="0.15">
      <c r="A778" s="36">
        <v>777</v>
      </c>
      <c r="B778" s="3" t="s">
        <v>41</v>
      </c>
      <c r="C778" s="4" t="str">
        <f>"0003132449"</f>
        <v>0003132449</v>
      </c>
      <c r="D778" s="5" t="str">
        <f>"マクロ経済学の基本 / 駄田井正[ほか]共著.-- 晃洋書房; 1992.4."</f>
        <v>マクロ経済学の基本 / 駄田井正[ほか]共著.-- 晃洋書房; 1992.4.</v>
      </c>
      <c r="E778" s="5" t="str">
        <f>""</f>
        <v/>
      </c>
      <c r="F778" s="26"/>
      <c r="G778" s="27" t="str">
        <f>"331/ﾀﾞﾀ"</f>
        <v>331/ﾀﾞﾀ</v>
      </c>
      <c r="H778" s="4" t="str">
        <f>"2011/12/26"</f>
        <v>2011/12/26</v>
      </c>
      <c r="I778" s="6">
        <v>735</v>
      </c>
      <c r="J778" s="6">
        <v>100</v>
      </c>
      <c r="K778" s="4" t="str">
        <f t="shared" si="42"/>
        <v>1  和書</v>
      </c>
      <c r="L778" s="7"/>
    </row>
    <row r="779" spans="1:12" ht="24" x14ac:dyDescent="0.15">
      <c r="A779" s="36">
        <v>778</v>
      </c>
      <c r="B779" s="3" t="s">
        <v>41</v>
      </c>
      <c r="C779" s="4" t="str">
        <f>"0003132401"</f>
        <v>0003132401</v>
      </c>
      <c r="D779" s="5" t="str">
        <f>"現代ミクロ経済学 / 細江守紀, 今泉博国, 慶田収編.-- 勁草書房; 2000.4.-- (現代経済学のコア)."</f>
        <v>現代ミクロ経済学 / 細江守紀, 今泉博国, 慶田収編.-- 勁草書房; 2000.4.-- (現代経済学のコア).</v>
      </c>
      <c r="E779" s="5" t="str">
        <f>""</f>
        <v/>
      </c>
      <c r="F779" s="26"/>
      <c r="G779" s="27" t="str">
        <f>"331/ﾎｿ"</f>
        <v>331/ﾎｿ</v>
      </c>
      <c r="H779" s="4" t="str">
        <f>"2011/12/22"</f>
        <v>2011/12/22</v>
      </c>
      <c r="I779" s="6">
        <v>2740</v>
      </c>
      <c r="J779" s="6">
        <v>100</v>
      </c>
      <c r="K779" s="4" t="str">
        <f t="shared" si="42"/>
        <v>1  和書</v>
      </c>
      <c r="L779" s="7"/>
    </row>
    <row r="780" spans="1:12" ht="24" x14ac:dyDescent="0.15">
      <c r="A780" s="36">
        <v>779</v>
      </c>
      <c r="B780" s="3" t="s">
        <v>41</v>
      </c>
      <c r="C780" s="4" t="str">
        <f>"0002469591"</f>
        <v>0002469591</v>
      </c>
      <c r="D780" s="5" t="str">
        <f>"マンキュー経済学 / N.グレゴリー・マンキュー著 ; 足立英之 [ほか] 訳 ; 1: ミクロ編, 2: マクロ編.-- 東洋経済新報社; 2000.4-2001.4."</f>
        <v>マンキュー経済学 / N.グレゴリー・マンキュー著 ; 足立英之 [ほか] 訳 ; 1: ミクロ編, 2: マクロ編.-- 東洋経済新報社; 2000.4-2001.4.</v>
      </c>
      <c r="E780" s="5" t="str">
        <f>"1: ミクロ編"</f>
        <v>1: ミクロ編</v>
      </c>
      <c r="F780" s="26"/>
      <c r="G780" s="27" t="str">
        <f>"331/ﾏﾝ/1"</f>
        <v>331/ﾏﾝ/1</v>
      </c>
      <c r="H780" s="4" t="str">
        <f>"2001/11/19"</f>
        <v>2001/11/19</v>
      </c>
      <c r="I780" s="6">
        <v>3591</v>
      </c>
      <c r="J780" s="6">
        <v>100</v>
      </c>
      <c r="K780" s="4" t="str">
        <f t="shared" si="42"/>
        <v>1  和書</v>
      </c>
      <c r="L780" s="7"/>
    </row>
    <row r="781" spans="1:12" ht="24" x14ac:dyDescent="0.15">
      <c r="A781" s="36">
        <v>780</v>
      </c>
      <c r="B781" s="3" t="s">
        <v>41</v>
      </c>
      <c r="C781" s="4" t="str">
        <f>"0003132395"</f>
        <v>0003132395</v>
      </c>
      <c r="D781" s="5" t="str">
        <f>"現代マクロ経済学 / 村田安雄著.-- 新版.-- 有斐閣; 1994.12.-- (有斐閣双書)."</f>
        <v>現代マクロ経済学 / 村田安雄著.-- 新版.-- 有斐閣; 1994.12.-- (有斐閣双書).</v>
      </c>
      <c r="E781" s="5" t="str">
        <f>""</f>
        <v/>
      </c>
      <c r="F781" s="26"/>
      <c r="G781" s="27" t="str">
        <f>"331/ﾑﾗ"</f>
        <v>331/ﾑﾗ</v>
      </c>
      <c r="H781" s="4" t="str">
        <f>"2011/12/22"</f>
        <v>2011/12/22</v>
      </c>
      <c r="I781" s="6">
        <v>1559</v>
      </c>
      <c r="J781" s="6">
        <v>100</v>
      </c>
      <c r="K781" s="4" t="str">
        <f t="shared" si="42"/>
        <v>1  和書</v>
      </c>
      <c r="L781" s="7"/>
    </row>
    <row r="782" spans="1:12" ht="24" x14ac:dyDescent="0.15">
      <c r="A782" s="36">
        <v>781</v>
      </c>
      <c r="B782" s="3" t="s">
        <v>41</v>
      </c>
      <c r="C782" s="4" t="str">
        <f>"0002112886"</f>
        <v>0002112886</v>
      </c>
      <c r="D782" s="5" t="str">
        <f>"進歩史観の黄昏 / 村上泰亮著.-- 中央公論社; 1992.8.-- (反古典の政治経済学 / 村上泰亮著 ; 上)."</f>
        <v>進歩史観の黄昏 / 村上泰亮著.-- 中央公論社; 1992.8.-- (反古典の政治経済学 / 村上泰亮著 ; 上).</v>
      </c>
      <c r="E782" s="5" t="str">
        <f>""</f>
        <v/>
      </c>
      <c r="F782" s="26"/>
      <c r="G782" s="27" t="str">
        <f>"331/ﾑﾗ/1"</f>
        <v>331/ﾑﾗ/1</v>
      </c>
      <c r="H782" s="4" t="str">
        <f>"1999/08/03"</f>
        <v>1999/08/03</v>
      </c>
      <c r="I782" s="6">
        <v>2268</v>
      </c>
      <c r="J782" s="6">
        <v>100</v>
      </c>
      <c r="K782" s="4" t="str">
        <f t="shared" si="42"/>
        <v>1  和書</v>
      </c>
      <c r="L782" s="7"/>
    </row>
    <row r="783" spans="1:12" ht="24" x14ac:dyDescent="0.15">
      <c r="A783" s="36">
        <v>782</v>
      </c>
      <c r="B783" s="3" t="s">
        <v>41</v>
      </c>
      <c r="C783" s="4" t="str">
        <f>"0002112879"</f>
        <v>0002112879</v>
      </c>
      <c r="D783" s="5" t="str">
        <f>"二十一世紀への序説 / 村上泰亮著.-- 中央公論社; 1992.8.-- (反古典の政治経済学 / 村上泰亮著 ; 下)."</f>
        <v>二十一世紀への序説 / 村上泰亮著.-- 中央公論社; 1992.8.-- (反古典の政治経済学 / 村上泰亮著 ; 下).</v>
      </c>
      <c r="E783" s="5" t="str">
        <f>""</f>
        <v/>
      </c>
      <c r="F783" s="26"/>
      <c r="G783" s="27" t="str">
        <f>"331/ﾑﾗ/2"</f>
        <v>331/ﾑﾗ/2</v>
      </c>
      <c r="H783" s="4" t="str">
        <f>"1999/08/03"</f>
        <v>1999/08/03</v>
      </c>
      <c r="I783" s="6">
        <v>2741</v>
      </c>
      <c r="J783" s="6">
        <v>100</v>
      </c>
      <c r="K783" s="4" t="str">
        <f t="shared" si="42"/>
        <v>1  和書</v>
      </c>
      <c r="L783" s="7"/>
    </row>
    <row r="784" spans="1:12" ht="24" x14ac:dyDescent="0.15">
      <c r="A784" s="36">
        <v>783</v>
      </c>
      <c r="B784" s="3" t="s">
        <v>41</v>
      </c>
      <c r="C784" s="4" t="str">
        <f>"0000505048"</f>
        <v>0000505048</v>
      </c>
      <c r="D784" s="5" t="str">
        <f>"経済人類学への招待 : ヒトはどう生きてきたか / 山内昶著.-- 筑摩書房; 1994.10.-- (ちくま新書 ; 013)."</f>
        <v>経済人類学への招待 : ヒトはどう生きてきたか / 山内昶著.-- 筑摩書房; 1994.10.-- (ちくま新書 ; 013).</v>
      </c>
      <c r="E784" s="5" t="str">
        <f>""</f>
        <v/>
      </c>
      <c r="F784" s="26"/>
      <c r="G784" s="27" t="str">
        <f>"331/ﾔﾏ"</f>
        <v>331/ﾔﾏ</v>
      </c>
      <c r="H784" s="4" t="str">
        <f>"1994/11/25"</f>
        <v>1994/11/25</v>
      </c>
      <c r="I784" s="6">
        <v>612</v>
      </c>
      <c r="J784" s="6">
        <v>100</v>
      </c>
      <c r="K784" s="4" t="str">
        <f t="shared" si="42"/>
        <v>1  和書</v>
      </c>
      <c r="L784" s="7"/>
    </row>
    <row r="785" spans="1:12" ht="24" x14ac:dyDescent="0.15">
      <c r="A785" s="36">
        <v>784</v>
      </c>
      <c r="B785" s="3" t="s">
        <v>41</v>
      </c>
      <c r="C785" s="4" t="str">
        <f>"0002101798"</f>
        <v>0002101798</v>
      </c>
      <c r="D785" s="5" t="str">
        <f>"経済学の正しい使用法 : 政府は経済に手を出すな / ロバート・J・バロー著 ; 仁平和夫訳.-- 日本経済新聞社; 1997.7."</f>
        <v>経済学の正しい使用法 : 政府は経済に手を出すな / ロバート・J・バロー著 ; 仁平和夫訳.-- 日本経済新聞社; 1997.7.</v>
      </c>
      <c r="E785" s="5" t="str">
        <f>""</f>
        <v/>
      </c>
      <c r="F785" s="26"/>
      <c r="G785" s="27" t="str">
        <f>"331.04/ﾊﾞﾛ"</f>
        <v>331.04/ﾊﾞﾛ</v>
      </c>
      <c r="H785" s="4" t="str">
        <f>"1999/05/14"</f>
        <v>1999/05/14</v>
      </c>
      <c r="I785" s="6">
        <v>1512</v>
      </c>
      <c r="J785" s="6">
        <v>100</v>
      </c>
      <c r="K785" s="4" t="str">
        <f t="shared" si="42"/>
        <v>1  和書</v>
      </c>
      <c r="L785" s="7"/>
    </row>
    <row r="786" spans="1:12" ht="24" x14ac:dyDescent="0.15">
      <c r="A786" s="36">
        <v>785</v>
      </c>
      <c r="B786" s="3" t="s">
        <v>41</v>
      </c>
      <c r="C786" s="4" t="str">
        <f>"0002486055"</f>
        <v>0002486055</v>
      </c>
      <c r="D786" s="5" t="str">
        <f>"自由と経済開発 / アマルティア・セン著 ; 石塚雅彦訳.-- 日本経済新聞社; 2000.6."</f>
        <v>自由と経済開発 / アマルティア・セン著 ; 石塚雅彦訳.-- 日本経済新聞社; 2000.6.</v>
      </c>
      <c r="E786" s="5" t="str">
        <f>""</f>
        <v/>
      </c>
      <c r="F786" s="26"/>
      <c r="G786" s="27" t="str">
        <f>"331.1/ｾﾝ"</f>
        <v>331.1/ｾﾝ</v>
      </c>
      <c r="H786" s="4" t="str">
        <f>"2002/04/25"</f>
        <v>2002/04/25</v>
      </c>
      <c r="I786" s="6">
        <v>2079</v>
      </c>
      <c r="J786" s="6">
        <v>100</v>
      </c>
      <c r="K786" s="4" t="str">
        <f>"1  和書"</f>
        <v>1  和書</v>
      </c>
      <c r="L786" s="7"/>
    </row>
    <row r="787" spans="1:12" ht="24" x14ac:dyDescent="0.15">
      <c r="A787" s="36">
        <v>786</v>
      </c>
      <c r="B787" s="3" t="s">
        <v>41</v>
      </c>
      <c r="C787" s="4" t="str">
        <f>"0002117386"</f>
        <v>0002117386</v>
      </c>
      <c r="D787" s="5" t="str">
        <f>"合理的な愚か者 : 経済学=倫理学的探究 / アマルティア・セン著 ; 大庭健, 川本隆史共訳.-- 勁草書房; 1989.4."</f>
        <v>合理的な愚か者 : 経済学=倫理学的探究 / アマルティア・セン著 ; 大庭健, 川本隆史共訳.-- 勁草書房; 1989.4.</v>
      </c>
      <c r="E787" s="5" t="str">
        <f>""</f>
        <v/>
      </c>
      <c r="F787" s="26"/>
      <c r="G787" s="27" t="str">
        <f>"331.15/ｾﾝ"</f>
        <v>331.15/ｾﾝ</v>
      </c>
      <c r="H787" s="4" t="str">
        <f>"1999/09/28"</f>
        <v>1999/09/28</v>
      </c>
      <c r="I787" s="6">
        <v>2835</v>
      </c>
      <c r="J787" s="6">
        <v>100</v>
      </c>
      <c r="K787" s="4" t="str">
        <f t="shared" si="42"/>
        <v>1  和書</v>
      </c>
      <c r="L787" s="7"/>
    </row>
    <row r="788" spans="1:12" ht="36" x14ac:dyDescent="0.15">
      <c r="A788" s="36">
        <v>787</v>
      </c>
      <c r="B788" s="3" t="s">
        <v>41</v>
      </c>
      <c r="C788" s="4" t="str">
        <f>"0001269949"</f>
        <v>0001269949</v>
      </c>
      <c r="D788" s="5" t="str">
        <f>"Handbook of game theory with economic applications / edited by Robert J. Aumann and Sergiu Hart ; v. 1, v. 2, v. 3.-- Elsevier; 1992-2002.-- (Handbooks in economics ; 11)."</f>
        <v>Handbook of game theory with economic applications / edited by Robert J. Aumann and Sergiu Hart ; v. 1, v. 2, v. 3.-- Elsevier; 1992-2002.-- (Handbooks in economics ; 11).</v>
      </c>
      <c r="E788" s="5" t="str">
        <f>"v. 1"</f>
        <v>v. 1</v>
      </c>
      <c r="F788" s="26"/>
      <c r="G788" s="27" t="str">
        <f>"331.19/AU/1"</f>
        <v>331.19/AU/1</v>
      </c>
      <c r="H788" s="4" t="str">
        <f>"1996/06/14"</f>
        <v>1996/06/14</v>
      </c>
      <c r="I788" s="6">
        <v>24482</v>
      </c>
      <c r="J788" s="8">
        <v>1000</v>
      </c>
      <c r="K788" s="4" t="str">
        <f t="shared" ref="K788:K793" si="43">"2  洋書"</f>
        <v>2  洋書</v>
      </c>
      <c r="L788" s="7"/>
    </row>
    <row r="789" spans="1:12" ht="36" x14ac:dyDescent="0.15">
      <c r="A789" s="36">
        <v>788</v>
      </c>
      <c r="B789" s="3" t="s">
        <v>41</v>
      </c>
      <c r="C789" s="4" t="str">
        <f>"0001269956"</f>
        <v>0001269956</v>
      </c>
      <c r="D789" s="5" t="str">
        <f>"Handbook of game theory with economic applications / edited by Robert J. Aumann and Sergiu Hart ; v. 1, v. 2, v. 3.-- Elsevier; 1992-2002.-- (Handbooks in economics ; 11)."</f>
        <v>Handbook of game theory with economic applications / edited by Robert J. Aumann and Sergiu Hart ; v. 1, v. 2, v. 3.-- Elsevier; 1992-2002.-- (Handbooks in economics ; 11).</v>
      </c>
      <c r="E789" s="5" t="str">
        <f>"v. 2"</f>
        <v>v. 2</v>
      </c>
      <c r="F789" s="26"/>
      <c r="G789" s="27" t="str">
        <f>"331.19/AU/2"</f>
        <v>331.19/AU/2</v>
      </c>
      <c r="H789" s="4" t="str">
        <f>"1996/06/14"</f>
        <v>1996/06/14</v>
      </c>
      <c r="I789" s="6">
        <v>23175</v>
      </c>
      <c r="J789" s="8">
        <v>1000</v>
      </c>
      <c r="K789" s="4" t="str">
        <f t="shared" si="43"/>
        <v>2  洋書</v>
      </c>
      <c r="L789" s="7"/>
    </row>
    <row r="790" spans="1:12" ht="36" x14ac:dyDescent="0.15">
      <c r="A790" s="36">
        <v>789</v>
      </c>
      <c r="B790" s="3" t="s">
        <v>41</v>
      </c>
      <c r="C790" s="4" t="str">
        <f>"0002753690"</f>
        <v>0002753690</v>
      </c>
      <c r="D790" s="5" t="str">
        <f>"State-space models with regime switching : classical and Gibbs-sampling approaches with applications / Chang-Jin Kim and Charles R. Nelson ; : hc.-- MIT Press; c1999."</f>
        <v>State-space models with regime switching : classical and Gibbs-sampling approaches with applications / Chang-Jin Kim and Charles R. Nelson ; : hc.-- MIT Press; c1999.</v>
      </c>
      <c r="E790" s="5" t="str">
        <f>": hc"</f>
        <v>: hc</v>
      </c>
      <c r="F790" s="26"/>
      <c r="G790" s="27" t="str">
        <f>"331.19/KI"</f>
        <v>331.19/KI</v>
      </c>
      <c r="H790" s="4" t="str">
        <f>"2004/05/06"</f>
        <v>2004/05/06</v>
      </c>
      <c r="I790" s="6">
        <v>7607</v>
      </c>
      <c r="J790" s="6">
        <v>100</v>
      </c>
      <c r="K790" s="4" t="str">
        <f t="shared" si="43"/>
        <v>2  洋書</v>
      </c>
      <c r="L790" s="7"/>
    </row>
    <row r="791" spans="1:12" ht="36" x14ac:dyDescent="0.15">
      <c r="A791" s="36">
        <v>790</v>
      </c>
      <c r="B791" s="3" t="s">
        <v>41</v>
      </c>
      <c r="C791" s="4" t="str">
        <f>"0001280777"</f>
        <v>0001280777</v>
      </c>
      <c r="D791" s="5" t="str">
        <f>"Optimization and computational logic / Ken McAloon, Carol Tretkoff.-- Wiley; c1996.-- (Wiley-Interscience series in discrete mathematics and optimization)."</f>
        <v>Optimization and computational logic / Ken McAloon, Carol Tretkoff.-- Wiley; c1996.-- (Wiley-Interscience series in discrete mathematics and optimization).</v>
      </c>
      <c r="E791" s="5" t="str">
        <f>""</f>
        <v/>
      </c>
      <c r="F791" s="26"/>
      <c r="G791" s="27" t="str">
        <f>"331.19/MA"</f>
        <v>331.19/MA</v>
      </c>
      <c r="H791" s="4" t="str">
        <f>"1996/12/09"</f>
        <v>1996/12/09</v>
      </c>
      <c r="I791" s="6">
        <v>11031</v>
      </c>
      <c r="J791" s="8">
        <v>500</v>
      </c>
      <c r="K791" s="4" t="str">
        <f t="shared" si="43"/>
        <v>2  洋書</v>
      </c>
      <c r="L791" s="7"/>
    </row>
    <row r="792" spans="1:12" ht="24" x14ac:dyDescent="0.15">
      <c r="A792" s="36">
        <v>791</v>
      </c>
      <c r="B792" s="3" t="s">
        <v>41</v>
      </c>
      <c r="C792" s="4" t="str">
        <f>"0001668742"</f>
        <v>0001668742</v>
      </c>
      <c r="D792" s="5" t="str">
        <f>"A course in game theory / Martin J. Osborne, Ariel Rubinstein ; : hard, : pbk.-- MIT Press; c1994."</f>
        <v>A course in game theory / Martin J. Osborne, Ariel Rubinstein ; : hard, : pbk.-- MIT Press; c1994.</v>
      </c>
      <c r="E792" s="5" t="str">
        <f>": pbk"</f>
        <v>: pbk</v>
      </c>
      <c r="F792" s="26"/>
      <c r="G792" s="27" t="str">
        <f>"331.19/OS"</f>
        <v>331.19/OS</v>
      </c>
      <c r="H792" s="4" t="str">
        <f>"1998/03/30"</f>
        <v>1998/03/30</v>
      </c>
      <c r="I792" s="6">
        <v>4545</v>
      </c>
      <c r="J792" s="6">
        <v>100</v>
      </c>
      <c r="K792" s="4" t="str">
        <f t="shared" si="43"/>
        <v>2  洋書</v>
      </c>
      <c r="L792" s="7"/>
    </row>
    <row r="793" spans="1:12" ht="24" x14ac:dyDescent="0.15">
      <c r="A793" s="36">
        <v>792</v>
      </c>
      <c r="B793" s="3" t="s">
        <v>41</v>
      </c>
      <c r="C793" s="4" t="str">
        <f>"0000866712"</f>
        <v>0000866712</v>
      </c>
      <c r="D793" s="5" t="str">
        <f>"Game theory in the social sciences : concepts and solutions / Martin Shubik ; : pbk.-- MIT Press; 1984."</f>
        <v>Game theory in the social sciences : concepts and solutions / Martin Shubik ; : pbk.-- MIT Press; 1984.</v>
      </c>
      <c r="E793" s="5" t="str">
        <f>": pbk"</f>
        <v>: pbk</v>
      </c>
      <c r="F793" s="26"/>
      <c r="G793" s="27" t="str">
        <f>"331.19/SH"</f>
        <v>331.19/SH</v>
      </c>
      <c r="H793" s="4" t="str">
        <f>"1995/08/07"</f>
        <v>1995/08/07</v>
      </c>
      <c r="I793" s="6">
        <v>3151</v>
      </c>
      <c r="J793" s="6">
        <v>100</v>
      </c>
      <c r="K793" s="4" t="str">
        <f t="shared" si="43"/>
        <v>2  洋書</v>
      </c>
      <c r="L793" s="7"/>
    </row>
    <row r="794" spans="1:12" ht="24" x14ac:dyDescent="0.15">
      <c r="A794" s="36">
        <v>793</v>
      </c>
      <c r="B794" s="3" t="s">
        <v>41</v>
      </c>
      <c r="C794" s="4" t="str">
        <f>"0002919744"</f>
        <v>0002919744</v>
      </c>
      <c r="D794" s="5" t="str">
        <f>"市場・知識・自由 : 自由主義の経済思想 / F.A.ハイエク [著] ; 田中真晴, 田中秀夫編訳.-- ミネルヴァ書房; 1986.11."</f>
        <v>市場・知識・自由 : 自由主義の経済思想 / F.A.ハイエク [著] ; 田中真晴, 田中秀夫編訳.-- ミネルヴァ書房; 1986.11.</v>
      </c>
      <c r="E794" s="5" t="str">
        <f>""</f>
        <v/>
      </c>
      <c r="F794" s="26"/>
      <c r="G794" s="27" t="str">
        <f>"331.72/ﾊｲ"</f>
        <v>331.72/ﾊｲ</v>
      </c>
      <c r="H794" s="4" t="str">
        <f>"2007/10/11"</f>
        <v>2007/10/11</v>
      </c>
      <c r="I794" s="6">
        <v>2646</v>
      </c>
      <c r="J794" s="6">
        <v>100</v>
      </c>
      <c r="K794" s="4" t="str">
        <f>"1  和書"</f>
        <v>1  和書</v>
      </c>
      <c r="L794" s="7"/>
    </row>
    <row r="795" spans="1:12" ht="24" x14ac:dyDescent="0.15">
      <c r="A795" s="36">
        <v>794</v>
      </c>
      <c r="B795" s="3" t="s">
        <v>41</v>
      </c>
      <c r="C795" s="4" t="str">
        <f>"0001118513"</f>
        <v>0001118513</v>
      </c>
      <c r="D795" s="5" t="str">
        <f>"自由への決断 : 今日と明日を思索するミーゼスの経済学 / ルートヴィヒ・フォン・ミーゼス [著] ; 村田稔雄訳.-- 広文社; 1980.12."</f>
        <v>自由への決断 : 今日と明日を思索するミーゼスの経済学 / ルートヴィヒ・フォン・ミーゼス [著] ; 村田稔雄訳.-- 広文社; 1980.12.</v>
      </c>
      <c r="E795" s="5" t="str">
        <f>""</f>
        <v/>
      </c>
      <c r="F795" s="26"/>
      <c r="G795" s="27" t="str">
        <f>"331.72/ﾐｾﾞ"</f>
        <v>331.72/ﾐｾﾞ</v>
      </c>
      <c r="H795" s="4" t="str">
        <f>"1996/03/29"</f>
        <v>1996/03/29</v>
      </c>
      <c r="I795" s="6">
        <v>1224</v>
      </c>
      <c r="J795" s="6">
        <v>100</v>
      </c>
      <c r="K795" s="4" t="str">
        <f>"1  和書"</f>
        <v>1  和書</v>
      </c>
      <c r="L795" s="7"/>
    </row>
    <row r="796" spans="1:12" ht="36" x14ac:dyDescent="0.15">
      <c r="A796" s="36">
        <v>795</v>
      </c>
      <c r="B796" s="3" t="s">
        <v>41</v>
      </c>
      <c r="C796" s="4" t="str">
        <f>"0000718295"</f>
        <v>0000718295</v>
      </c>
      <c r="D796" s="5" t="str">
        <f>"経済のマネージァビリティ : 新自由主義からの批判に耐えうるか / 川上忠雄, 杉浦克己編.-- 法政大学出版局; 1989.3.-- (比較経済研究所研究シリーズ / 法政大学比較経済研究所 [編] ; 4)."</f>
        <v>経済のマネージァビリティ : 新自由主義からの批判に耐えうるか / 川上忠雄, 杉浦克己編.-- 法政大学出版局; 1989.3.-- (比較経済研究所研究シリーズ / 法政大学比較経済研究所 [編] ; 4).</v>
      </c>
      <c r="E796" s="5" t="str">
        <f>""</f>
        <v/>
      </c>
      <c r="F796" s="26"/>
      <c r="G796" s="27" t="str">
        <f>"331.74/ｶﾜ"</f>
        <v>331.74/ｶﾜ</v>
      </c>
      <c r="H796" s="4" t="str">
        <f>"1995/03/31"</f>
        <v>1995/03/31</v>
      </c>
      <c r="I796" s="6">
        <v>2518</v>
      </c>
      <c r="J796" s="6">
        <v>100</v>
      </c>
      <c r="K796" s="4" t="str">
        <f>"1  和書"</f>
        <v>1  和書</v>
      </c>
      <c r="L796" s="7"/>
    </row>
    <row r="797" spans="1:12" ht="24" x14ac:dyDescent="0.15">
      <c r="A797" s="36">
        <v>796</v>
      </c>
      <c r="B797" s="3" t="s">
        <v>41</v>
      </c>
      <c r="C797" s="4" t="str">
        <f>"0000675550"</f>
        <v>0000675550</v>
      </c>
      <c r="D797" s="5" t="str">
        <f>"経済学 / P.サムエルソン, W.ノードハウス著 ; 都留重人訳 ; 上, 下.-- 岩波書店; 1992.5-1993.6."</f>
        <v>経済学 / P.サムエルソン, W.ノードハウス著 ; 都留重人訳 ; 上, 下.-- 岩波書店; 1992.5-1993.6.</v>
      </c>
      <c r="E797" s="5" t="str">
        <f>"下"</f>
        <v>下</v>
      </c>
      <c r="F797" s="26"/>
      <c r="G797" s="27" t="str">
        <f>"331.74/ｻﾑ/2"</f>
        <v>331.74/ｻﾑ/2</v>
      </c>
      <c r="H797" s="4" t="str">
        <f>"1995/03/31"</f>
        <v>1995/03/31</v>
      </c>
      <c r="I797" s="6">
        <v>3189</v>
      </c>
      <c r="J797" s="6">
        <v>100</v>
      </c>
      <c r="K797" s="4" t="str">
        <f>"1  和書"</f>
        <v>1  和書</v>
      </c>
      <c r="L797" s="7"/>
    </row>
    <row r="798" spans="1:12" ht="24" x14ac:dyDescent="0.15">
      <c r="A798" s="36">
        <v>797</v>
      </c>
      <c r="B798" s="3" t="s">
        <v>41</v>
      </c>
      <c r="C798" s="4" t="str">
        <f>"0002117393"</f>
        <v>0002117393</v>
      </c>
      <c r="D798" s="5" t="str">
        <f>"福祉の経済学 : 財と潜在能力 / アマルティア・セン著 ; 鈴村興太郎訳.-- 岩波書店; 1988.1."</f>
        <v>福祉の経済学 : 財と潜在能力 / アマルティア・セン著 ; 鈴村興太郎訳.-- 岩波書店; 1988.1.</v>
      </c>
      <c r="E798" s="5" t="str">
        <f>""</f>
        <v/>
      </c>
      <c r="F798" s="26"/>
      <c r="G798" s="27" t="str">
        <f>"331.74/ｾﾝ"</f>
        <v>331.74/ｾﾝ</v>
      </c>
      <c r="H798" s="4" t="str">
        <f>"1999/09/29"</f>
        <v>1999/09/29</v>
      </c>
      <c r="I798" s="6">
        <v>1984</v>
      </c>
      <c r="J798" s="6">
        <v>100</v>
      </c>
      <c r="K798" s="4" t="str">
        <f>"1  和書"</f>
        <v>1  和書</v>
      </c>
      <c r="L798" s="7"/>
    </row>
    <row r="799" spans="1:12" ht="36" x14ac:dyDescent="0.15">
      <c r="A799" s="36">
        <v>798</v>
      </c>
      <c r="B799" s="3" t="s">
        <v>41</v>
      </c>
      <c r="C799" s="10" t="str">
        <f>"0000814928"</f>
        <v>0000814928</v>
      </c>
      <c r="D799" s="11" t="str">
        <f>"John Maynard Keynes : critical assessments : second series / edited by John Cunningham Wood ; : 2nd ser., 4 vol. set - v. 8.-- Routledge; 1994.-- (Critical assessments of leading economists)."</f>
        <v>John Maynard Keynes : critical assessments : second series / edited by John Cunningham Wood ; : 2nd ser., 4 vol. set - v. 8.-- Routledge; 1994.-- (Critical assessments of leading economists).</v>
      </c>
      <c r="E799" s="11" t="str">
        <f>"v. 5"</f>
        <v>v. 5</v>
      </c>
      <c r="F799" s="28" t="s">
        <v>8</v>
      </c>
      <c r="G799" s="29" t="str">
        <f>"331.74/KE/5"</f>
        <v>331.74/KE/5</v>
      </c>
      <c r="H799" s="10" t="str">
        <f>"1995/03/31"</f>
        <v>1995/03/31</v>
      </c>
      <c r="I799" s="12">
        <v>26781</v>
      </c>
      <c r="J799" s="14">
        <v>1000</v>
      </c>
      <c r="K799" s="10" t="str">
        <f>"2  洋書"</f>
        <v>2  洋書</v>
      </c>
      <c r="L799" s="13"/>
    </row>
    <row r="800" spans="1:12" ht="36" x14ac:dyDescent="0.15">
      <c r="A800" s="36">
        <v>799</v>
      </c>
      <c r="B800" s="3" t="s">
        <v>41</v>
      </c>
      <c r="C800" s="10" t="str">
        <f>"0000814935"</f>
        <v>0000814935</v>
      </c>
      <c r="D800" s="11" t="str">
        <f>"John Maynard Keynes : critical assessments : second series / edited by John Cunningham Wood ; : 2nd ser., 4 vol. set - v. 8.-- Routledge; 1994.-- (Critical assessments of leading economists)."</f>
        <v>John Maynard Keynes : critical assessments : second series / edited by John Cunningham Wood ; : 2nd ser., 4 vol. set - v. 8.-- Routledge; 1994.-- (Critical assessments of leading economists).</v>
      </c>
      <c r="E800" s="11" t="str">
        <f>"v. 6"</f>
        <v>v. 6</v>
      </c>
      <c r="F800" s="28" t="s">
        <v>8</v>
      </c>
      <c r="G800" s="29" t="str">
        <f>"331.74/KE/6"</f>
        <v>331.74/KE/6</v>
      </c>
      <c r="H800" s="10" t="str">
        <f>"1995/03/31"</f>
        <v>1995/03/31</v>
      </c>
      <c r="I800" s="12">
        <v>26530</v>
      </c>
      <c r="J800" s="14">
        <v>1000</v>
      </c>
      <c r="K800" s="10" t="str">
        <f>"2  洋書"</f>
        <v>2  洋書</v>
      </c>
      <c r="L800" s="13"/>
    </row>
    <row r="801" spans="1:12" ht="36" x14ac:dyDescent="0.15">
      <c r="A801" s="36">
        <v>800</v>
      </c>
      <c r="B801" s="3" t="s">
        <v>41</v>
      </c>
      <c r="C801" s="10" t="str">
        <f>"0000814942"</f>
        <v>0000814942</v>
      </c>
      <c r="D801" s="11" t="str">
        <f>"John Maynard Keynes : critical assessments : second series / edited by John Cunningham Wood ; : 2nd ser., 4 vol. set - v. 8.-- Routledge; 1994.-- (Critical assessments of leading economists)."</f>
        <v>John Maynard Keynes : critical assessments : second series / edited by John Cunningham Wood ; : 2nd ser., 4 vol. set - v. 8.-- Routledge; 1994.-- (Critical assessments of leading economists).</v>
      </c>
      <c r="E801" s="11" t="str">
        <f>"v. 7"</f>
        <v>v. 7</v>
      </c>
      <c r="F801" s="28" t="s">
        <v>8</v>
      </c>
      <c r="G801" s="29" t="str">
        <f>"331.74/KE/7"</f>
        <v>331.74/KE/7</v>
      </c>
      <c r="H801" s="10" t="str">
        <f>"1995/03/31"</f>
        <v>1995/03/31</v>
      </c>
      <c r="I801" s="12">
        <v>26530</v>
      </c>
      <c r="J801" s="14">
        <v>1000</v>
      </c>
      <c r="K801" s="10" t="str">
        <f>"2  洋書"</f>
        <v>2  洋書</v>
      </c>
      <c r="L801" s="13"/>
    </row>
    <row r="802" spans="1:12" ht="36" x14ac:dyDescent="0.15">
      <c r="A802" s="36">
        <v>801</v>
      </c>
      <c r="B802" s="3" t="s">
        <v>41</v>
      </c>
      <c r="C802" s="10" t="str">
        <f>"0000814959"</f>
        <v>0000814959</v>
      </c>
      <c r="D802" s="11" t="str">
        <f>"John Maynard Keynes : critical assessments : second series / edited by John Cunningham Wood ; : 2nd ser., 4 vol. set - v. 8.-- Routledge; 1994.-- (Critical assessments of leading economists)."</f>
        <v>John Maynard Keynes : critical assessments : second series / edited by John Cunningham Wood ; : 2nd ser., 4 vol. set - v. 8.-- Routledge; 1994.-- (Critical assessments of leading economists).</v>
      </c>
      <c r="E802" s="11" t="str">
        <f>"v. 8"</f>
        <v>v. 8</v>
      </c>
      <c r="F802" s="28" t="s">
        <v>8</v>
      </c>
      <c r="G802" s="29" t="str">
        <f>"331.74/KE/8"</f>
        <v>331.74/KE/8</v>
      </c>
      <c r="H802" s="10" t="str">
        <f>"1995/03/31"</f>
        <v>1995/03/31</v>
      </c>
      <c r="I802" s="12">
        <v>26530</v>
      </c>
      <c r="J802" s="14">
        <v>1000</v>
      </c>
      <c r="K802" s="10" t="str">
        <f>"2  洋書"</f>
        <v>2  洋書</v>
      </c>
      <c r="L802" s="13"/>
    </row>
    <row r="803" spans="1:12" ht="24" x14ac:dyDescent="0.15">
      <c r="A803" s="36">
        <v>802</v>
      </c>
      <c r="B803" s="3" t="s">
        <v>41</v>
      </c>
      <c r="C803" s="10" t="str">
        <f>"0000525435"</f>
        <v>0000525435</v>
      </c>
      <c r="D803" s="11" t="str">
        <f>"Post-Keynesian economics / edited by Malcolm C. Sawyer.-- E. Elgar.-- (Schools of thought in economics ; 2)."</f>
        <v>Post-Keynesian economics / edited by Malcolm C. Sawyer.-- E. Elgar.-- (Schools of thought in economics ; 2).</v>
      </c>
      <c r="E803" s="11" t="str">
        <f>""</f>
        <v/>
      </c>
      <c r="F803" s="28" t="s">
        <v>8</v>
      </c>
      <c r="G803" s="29" t="str">
        <f>"331.74/SA"</f>
        <v>331.74/SA</v>
      </c>
      <c r="H803" s="10" t="str">
        <f>"1995/01/25"</f>
        <v>1995/01/25</v>
      </c>
      <c r="I803" s="12">
        <v>19338</v>
      </c>
      <c r="J803" s="14">
        <v>500</v>
      </c>
      <c r="K803" s="10" t="str">
        <f>"2  洋書"</f>
        <v>2  洋書</v>
      </c>
      <c r="L803" s="13"/>
    </row>
    <row r="804" spans="1:12" ht="24" x14ac:dyDescent="0.15">
      <c r="A804" s="36">
        <v>803</v>
      </c>
      <c r="B804" s="3" t="s">
        <v>41</v>
      </c>
      <c r="C804" s="4" t="str">
        <f>"0000693684"</f>
        <v>0000693684</v>
      </c>
      <c r="D804" s="5" t="str">
        <f>"制度・制度変化・経済成果 / ダグラス・C・ノース著 ; 竹下公視訳.-- 晃洋書房; 1994.12."</f>
        <v>制度・制度変化・経済成果 / ダグラス・C・ノース著 ; 竹下公視訳.-- 晃洋書房; 1994.12.</v>
      </c>
      <c r="E804" s="5" t="str">
        <f>""</f>
        <v/>
      </c>
      <c r="F804" s="26"/>
      <c r="G804" s="27" t="str">
        <f>"331.76/ﾉｽ"</f>
        <v>331.76/ﾉｽ</v>
      </c>
      <c r="H804" s="4" t="str">
        <f>"1995/03/31"</f>
        <v>1995/03/31</v>
      </c>
      <c r="I804" s="6">
        <v>2038</v>
      </c>
      <c r="J804" s="6">
        <v>100</v>
      </c>
      <c r="K804" s="4" t="str">
        <f>"1  和書"</f>
        <v>1  和書</v>
      </c>
      <c r="L804" s="7"/>
    </row>
    <row r="805" spans="1:12" ht="24" x14ac:dyDescent="0.15">
      <c r="A805" s="36">
        <v>804</v>
      </c>
      <c r="B805" s="3" t="s">
        <v>41</v>
      </c>
      <c r="C805" s="4" t="str">
        <f>"0000885546"</f>
        <v>0000885546</v>
      </c>
      <c r="D805" s="5" t="str">
        <f>"Economics and technological change / by Rod Coombs, Paolo Saviotti, and Vivien Walsh ; : pbk.-- Rowman &amp; Littlefield; 1987."</f>
        <v>Economics and technological change / by Rod Coombs, Paolo Saviotti, and Vivien Walsh ; : pbk.-- Rowman &amp; Littlefield; 1987.</v>
      </c>
      <c r="E805" s="5" t="str">
        <f>": pbk"</f>
        <v>: pbk</v>
      </c>
      <c r="F805" s="26"/>
      <c r="G805" s="27" t="str">
        <f>"331.81/CO"</f>
        <v>331.81/CO</v>
      </c>
      <c r="H805" s="4" t="str">
        <f>"1995/12/07"</f>
        <v>1995/12/07</v>
      </c>
      <c r="I805" s="6">
        <v>3884</v>
      </c>
      <c r="J805" s="6">
        <v>100</v>
      </c>
      <c r="K805" s="4" t="str">
        <f>"2  洋書"</f>
        <v>2  洋書</v>
      </c>
      <c r="L805" s="7"/>
    </row>
    <row r="806" spans="1:12" x14ac:dyDescent="0.15">
      <c r="A806" s="36">
        <v>805</v>
      </c>
      <c r="B806" s="3" t="s">
        <v>41</v>
      </c>
      <c r="C806" s="10" t="str">
        <f>"0002117591"</f>
        <v>0002117591</v>
      </c>
      <c r="D806" s="11" t="str">
        <f>"市場と制度の政治経済学 / 金子勝著.-- 東京大学出版会; 1997.9."</f>
        <v>市場と制度の政治経済学 / 金子勝著.-- 東京大学出版会; 1997.9.</v>
      </c>
      <c r="E806" s="11" t="str">
        <f>""</f>
        <v/>
      </c>
      <c r="F806" s="28" t="s">
        <v>8</v>
      </c>
      <c r="G806" s="29" t="str">
        <f>"331.84/ｶﾈ"</f>
        <v>331.84/ｶﾈ</v>
      </c>
      <c r="H806" s="10" t="str">
        <f>"1999/10/04"</f>
        <v>1999/10/04</v>
      </c>
      <c r="I806" s="12">
        <v>3213</v>
      </c>
      <c r="J806" s="12">
        <v>100</v>
      </c>
      <c r="K806" s="10" t="str">
        <f t="shared" si="42"/>
        <v>1  和書</v>
      </c>
      <c r="L806" s="13"/>
    </row>
    <row r="807" spans="1:12" ht="24" x14ac:dyDescent="0.15">
      <c r="A807" s="36">
        <v>806</v>
      </c>
      <c r="B807" s="3" t="s">
        <v>41</v>
      </c>
      <c r="C807" s="4" t="str">
        <f>"0000606905"</f>
        <v>0000606905</v>
      </c>
      <c r="D807" s="5" t="str">
        <f>"高齢化の中の金融と貯蓄 / 高山憲之, 原田泰編著.-- 日本評論社; 1993.2.-- (郵政研究所研究叢書)."</f>
        <v>高齢化の中の金融と貯蓄 / 高山憲之, 原田泰編著.-- 日本評論社; 1993.2.-- (郵政研究所研究叢書).</v>
      </c>
      <c r="E807" s="5" t="str">
        <f>""</f>
        <v/>
      </c>
      <c r="F807" s="26"/>
      <c r="G807" s="27" t="str">
        <f>"331.87/ﾀｶ"</f>
        <v>331.87/ﾀｶ</v>
      </c>
      <c r="H807" s="4" t="str">
        <f>"1995/03/31"</f>
        <v>1995/03/31</v>
      </c>
      <c r="I807" s="6">
        <v>2624</v>
      </c>
      <c r="J807" s="6">
        <v>100</v>
      </c>
      <c r="K807" s="4" t="str">
        <f t="shared" si="42"/>
        <v>1  和書</v>
      </c>
      <c r="L807" s="7"/>
    </row>
    <row r="808" spans="1:12" x14ac:dyDescent="0.15">
      <c r="A808" s="36">
        <v>807</v>
      </c>
      <c r="B808" s="3" t="s">
        <v>41</v>
      </c>
      <c r="C808" s="4" t="str">
        <f>"0002919713"</f>
        <v>0002919713</v>
      </c>
      <c r="D808" s="5" t="str">
        <f>"貨幣・欲望・資本主義 / 佐伯啓思著.-- 新書館; 2000.12."</f>
        <v>貨幣・欲望・資本主義 / 佐伯啓思著.-- 新書館; 2000.12.</v>
      </c>
      <c r="E808" s="5" t="str">
        <f>""</f>
        <v/>
      </c>
      <c r="F808" s="26"/>
      <c r="G808" s="27" t="str">
        <f>"332.06/ｻｴ"</f>
        <v>332.06/ｻｴ</v>
      </c>
      <c r="H808" s="4" t="str">
        <f>"2007/10/09"</f>
        <v>2007/10/09</v>
      </c>
      <c r="I808" s="6">
        <v>2457</v>
      </c>
      <c r="J808" s="6">
        <v>100</v>
      </c>
      <c r="K808" s="4" t="str">
        <f t="shared" si="42"/>
        <v>1  和書</v>
      </c>
      <c r="L808" s="7"/>
    </row>
    <row r="809" spans="1:12" ht="24" x14ac:dyDescent="0.15">
      <c r="A809" s="36">
        <v>808</v>
      </c>
      <c r="B809" s="3" t="s">
        <v>41</v>
      </c>
      <c r="C809" s="4" t="str">
        <f>"0000059374"</f>
        <v>0000059374</v>
      </c>
      <c r="D809" s="5" t="str">
        <f>"体制転換 : 市場経済への道 / 中央大学経済研究所編.-- 中央大学出版部; 1992.7.-- (中央大学経済研究所研究叢書 ; 25)."</f>
        <v>体制転換 : 市場経済への道 / 中央大学経済研究所編.-- 中央大学出版部; 1992.7.-- (中央大学経済研究所研究叢書 ; 25).</v>
      </c>
      <c r="E809" s="5" t="str">
        <f>""</f>
        <v/>
      </c>
      <c r="F809" s="26"/>
      <c r="G809" s="27" t="str">
        <f>"332.07/ﾁﾕ"</f>
        <v>332.07/ﾁﾕ</v>
      </c>
      <c r="H809" s="4" t="str">
        <f>"1994/03/31"</f>
        <v>1994/03/31</v>
      </c>
      <c r="I809" s="6">
        <v>2133</v>
      </c>
      <c r="J809" s="6">
        <v>100</v>
      </c>
      <c r="K809" s="4" t="str">
        <f t="shared" si="42"/>
        <v>1  和書</v>
      </c>
      <c r="L809" s="7"/>
    </row>
    <row r="810" spans="1:12" x14ac:dyDescent="0.15">
      <c r="A810" s="36">
        <v>809</v>
      </c>
      <c r="B810" s="3" t="s">
        <v>41</v>
      </c>
      <c r="C810" s="4" t="str">
        <f>"0002186351"</f>
        <v>0002186351</v>
      </c>
      <c r="D810" s="5" t="str">
        <f>"日本の経済 / 館龍一郎著.-- 東京大学出版会; 1991.12."</f>
        <v>日本の経済 / 館龍一郎著.-- 東京大学出版会; 1991.12.</v>
      </c>
      <c r="E810" s="5" t="str">
        <f>""</f>
        <v/>
      </c>
      <c r="F810" s="26"/>
      <c r="G810" s="27" t="str">
        <f>"332.1/ﾀﾁ"</f>
        <v>332.1/ﾀﾁ</v>
      </c>
      <c r="H810" s="4" t="str">
        <f>"2001/02/15"</f>
        <v>2001/02/15</v>
      </c>
      <c r="I810" s="6">
        <v>2268</v>
      </c>
      <c r="J810" s="6">
        <v>100</v>
      </c>
      <c r="K810" s="4" t="str">
        <f t="shared" si="42"/>
        <v>1  和書</v>
      </c>
      <c r="L810" s="7"/>
    </row>
    <row r="811" spans="1:12" ht="24" x14ac:dyDescent="0.15">
      <c r="A811" s="36">
        <v>810</v>
      </c>
      <c r="B811" s="3" t="s">
        <v>41</v>
      </c>
      <c r="C811" s="4" t="str">
        <f>"0002129044"</f>
        <v>0002129044</v>
      </c>
      <c r="D811" s="5" t="str">
        <f>"日本経済活性化の条件 / 中谷巌監修 ; 日本総合研究所編.-- 東洋経済新報社; 1994.4."</f>
        <v>日本経済活性化の条件 / 中谷巌監修 ; 日本総合研究所編.-- 東洋経済新報社; 1994.4.</v>
      </c>
      <c r="E811" s="5" t="str">
        <f>""</f>
        <v/>
      </c>
      <c r="F811" s="26"/>
      <c r="G811" s="27" t="str">
        <f>"332.1/ﾆﾎ"</f>
        <v>332.1/ﾆﾎ</v>
      </c>
      <c r="H811" s="4" t="str">
        <f>"2000/01/24"</f>
        <v>2000/01/24</v>
      </c>
      <c r="I811" s="6">
        <v>1375</v>
      </c>
      <c r="J811" s="6">
        <v>100</v>
      </c>
      <c r="K811" s="4" t="str">
        <f t="shared" si="42"/>
        <v>1  和書</v>
      </c>
      <c r="L811" s="7"/>
    </row>
    <row r="812" spans="1:12" ht="24" x14ac:dyDescent="0.15">
      <c r="A812" s="36">
        <v>811</v>
      </c>
      <c r="B812" s="3" t="s">
        <v>41</v>
      </c>
      <c r="C812" s="4" t="str">
        <f>"0002903682"</f>
        <v>0002903682</v>
      </c>
      <c r="D812" s="5" t="str">
        <f>"ゼミナール日本経済入門 / 三橋規宏, 内田茂男, 池田吉紀著 ; 2006年度版.-- 21版.-- 日本経済新聞社; 2006.4."</f>
        <v>ゼミナール日本経済入門 / 三橋規宏, 内田茂男, 池田吉紀著 ; 2006年度版.-- 21版.-- 日本経済新聞社; 2006.4.</v>
      </c>
      <c r="E812" s="5" t="str">
        <f>"2006年度版"</f>
        <v>2006年度版</v>
      </c>
      <c r="F812" s="26"/>
      <c r="G812" s="27" t="str">
        <f>"332.1/ﾆﾎ"</f>
        <v>332.1/ﾆﾎ</v>
      </c>
      <c r="H812" s="4" t="str">
        <f>"2006/07/14"</f>
        <v>2006/07/14</v>
      </c>
      <c r="I812" s="6">
        <v>2835</v>
      </c>
      <c r="J812" s="6">
        <v>100</v>
      </c>
      <c r="K812" s="4" t="str">
        <f t="shared" si="42"/>
        <v>1  和書</v>
      </c>
      <c r="L812" s="7"/>
    </row>
    <row r="813" spans="1:12" ht="24" x14ac:dyDescent="0.15">
      <c r="A813" s="36">
        <v>812</v>
      </c>
      <c r="B813" s="3" t="s">
        <v>41</v>
      </c>
      <c r="C813" s="4" t="str">
        <f>"0002610061"</f>
        <v>0002610061</v>
      </c>
      <c r="D813" s="5" t="str">
        <f>"The Japanese economy : trade, industry, and government / Ryutaro Komiya ; : Japan.-- University of Tokyo Press; c1990."</f>
        <v>The Japanese economy : trade, industry, and government / Ryutaro Komiya ; : Japan.-- University of Tokyo Press; c1990.</v>
      </c>
      <c r="E813" s="5" t="str">
        <f>": Japan"</f>
        <v>: Japan</v>
      </c>
      <c r="F813" s="26"/>
      <c r="G813" s="27" t="str">
        <f>"332.1/KO"</f>
        <v>332.1/KO</v>
      </c>
      <c r="H813" s="4" t="str">
        <f>"2002/12/06"</f>
        <v>2002/12/06</v>
      </c>
      <c r="I813" s="6">
        <v>6142</v>
      </c>
      <c r="J813" s="6">
        <v>100</v>
      </c>
      <c r="K813" s="4" t="str">
        <f>"2  洋書"</f>
        <v>2  洋書</v>
      </c>
      <c r="L813" s="7"/>
    </row>
    <row r="814" spans="1:12" ht="24" x14ac:dyDescent="0.15">
      <c r="A814" s="36">
        <v>813</v>
      </c>
      <c r="B814" s="3" t="s">
        <v>41</v>
      </c>
      <c r="C814" s="4" t="str">
        <f>"0000258777"</f>
        <v>0000258777</v>
      </c>
      <c r="D814" s="5" t="str">
        <f>"東京一極集中の経済分析 / 八田達夫編.-- 日本経済新聞社; 1994.2.-- (シリーズ現代経済研究 / 現代経済研究グループ編 ; 7)."</f>
        <v>東京一極集中の経済分析 / 八田達夫編.-- 日本経済新聞社; 1994.2.-- (シリーズ現代経済研究 / 現代経済研究グループ編 ; 7).</v>
      </c>
      <c r="E814" s="5" t="str">
        <f>""</f>
        <v/>
      </c>
      <c r="F814" s="26"/>
      <c r="G814" s="27" t="str">
        <f>"332.13/ﾊﾂ"</f>
        <v>332.13/ﾊﾂ</v>
      </c>
      <c r="H814" s="4" t="str">
        <f>"1994/03/31"</f>
        <v>1994/03/31</v>
      </c>
      <c r="I814" s="6">
        <v>3231</v>
      </c>
      <c r="J814" s="6">
        <v>100</v>
      </c>
      <c r="K814" s="4" t="str">
        <f t="shared" si="42"/>
        <v>1  和書</v>
      </c>
      <c r="L814" s="7"/>
    </row>
    <row r="815" spans="1:12" ht="24" x14ac:dyDescent="0.15">
      <c r="A815" s="36">
        <v>814</v>
      </c>
      <c r="B815" s="3" t="s">
        <v>41</v>
      </c>
      <c r="C815" s="4" t="str">
        <f>"0002129075"</f>
        <v>0002129075</v>
      </c>
      <c r="D815" s="5" t="str">
        <f>"東京一極集中の経済分析 / 八田達夫編.-- 日本経済新聞社; 1994.2.-- (シリーズ現代経済研究 / 現代経済研究グループ編 ; 7)."</f>
        <v>東京一極集中の経済分析 / 八田達夫編.-- 日本経済新聞社; 1994.2.-- (シリーズ現代経済研究 / 現代経済研究グループ編 ; 7).</v>
      </c>
      <c r="E815" s="5" t="str">
        <f>""</f>
        <v/>
      </c>
      <c r="F815" s="26"/>
      <c r="G815" s="27" t="str">
        <f>"332.13/ﾊﾂ"</f>
        <v>332.13/ﾊﾂ</v>
      </c>
      <c r="H815" s="4" t="str">
        <f>"2000/01/24"</f>
        <v>2000/01/24</v>
      </c>
      <c r="I815" s="6">
        <v>3577</v>
      </c>
      <c r="J815" s="6">
        <v>100</v>
      </c>
      <c r="K815" s="4" t="str">
        <f t="shared" si="42"/>
        <v>1  和書</v>
      </c>
      <c r="L815" s="7"/>
    </row>
    <row r="816" spans="1:12" x14ac:dyDescent="0.15">
      <c r="A816" s="36">
        <v>815</v>
      </c>
      <c r="B816" s="3" t="s">
        <v>41</v>
      </c>
      <c r="C816" s="4" t="str">
        <f>"0000625081"</f>
        <v>0000625081</v>
      </c>
      <c r="D816" s="5" t="str">
        <f>"九州経済と国際化・情報化 / 日本科学者会議編.-- 大月書店; 1989.9."</f>
        <v>九州経済と国際化・情報化 / 日本科学者会議編.-- 大月書店; 1989.9.</v>
      </c>
      <c r="E816" s="5" t="str">
        <f>""</f>
        <v/>
      </c>
      <c r="F816" s="26"/>
      <c r="G816" s="27" t="str">
        <f>"332.19/ﾆﾎ"</f>
        <v>332.19/ﾆﾎ</v>
      </c>
      <c r="H816" s="4" t="str">
        <f>"1995/03/31"</f>
        <v>1995/03/31</v>
      </c>
      <c r="I816" s="6">
        <v>1987</v>
      </c>
      <c r="J816" s="6">
        <v>100</v>
      </c>
      <c r="K816" s="4" t="str">
        <f t="shared" si="42"/>
        <v>1  和書</v>
      </c>
      <c r="L816" s="7"/>
    </row>
    <row r="817" spans="1:12" ht="24" x14ac:dyDescent="0.15">
      <c r="A817" s="36">
        <v>816</v>
      </c>
      <c r="B817" s="3" t="s">
        <v>41</v>
      </c>
      <c r="C817" s="4" t="str">
        <f>"0000842044"</f>
        <v>0000842044</v>
      </c>
      <c r="D817" s="5" t="str">
        <f>"情報立国 : 何が、アジアのダイナミズムを創りだしているのか / 青山修二, 寺本義也監修.-- NTT出版; 1990.2.-- (Books in-form)."</f>
        <v>情報立国 : 何が、アジアのダイナミズムを創りだしているのか / 青山修二, 寺本義也監修.-- NTT出版; 1990.2.-- (Books in-form).</v>
      </c>
      <c r="E817" s="5" t="str">
        <f>""</f>
        <v/>
      </c>
      <c r="F817" s="26"/>
      <c r="G817" s="27" t="str">
        <f>"332.2/ｱｵ"</f>
        <v>332.2/ｱｵ</v>
      </c>
      <c r="H817" s="4" t="str">
        <f>"1995/06/21"</f>
        <v>1995/06/21</v>
      </c>
      <c r="I817" s="6">
        <v>2970</v>
      </c>
      <c r="J817" s="6">
        <v>100</v>
      </c>
      <c r="K817" s="4" t="str">
        <f t="shared" si="42"/>
        <v>1  和書</v>
      </c>
      <c r="L817" s="7"/>
    </row>
    <row r="818" spans="1:12" ht="24" x14ac:dyDescent="0.15">
      <c r="A818" s="36">
        <v>817</v>
      </c>
      <c r="B818" s="3" t="s">
        <v>41</v>
      </c>
      <c r="C818" s="4" t="str">
        <f>"0002651941"</f>
        <v>0002651941</v>
      </c>
      <c r="D818" s="5" t="str">
        <f>"途上国のグローバリゼーション : 自立的発展は可能か / 大野健一著.-- 東洋経済新報社; 2000.10."</f>
        <v>途上国のグローバリゼーション : 自立的発展は可能か / 大野健一著.-- 東洋経済新報社; 2000.10.</v>
      </c>
      <c r="E818" s="5" t="str">
        <f>""</f>
        <v/>
      </c>
      <c r="F818" s="26"/>
      <c r="G818" s="27" t="str">
        <f>"332.2/ｵｵ"</f>
        <v>332.2/ｵｵ</v>
      </c>
      <c r="H818" s="4" t="str">
        <f>"2003/12/22"</f>
        <v>2003/12/22</v>
      </c>
      <c r="I818" s="6">
        <v>1701</v>
      </c>
      <c r="J818" s="6">
        <v>100</v>
      </c>
      <c r="K818" s="4" t="str">
        <f t="shared" si="42"/>
        <v>1  和書</v>
      </c>
      <c r="L818" s="7"/>
    </row>
    <row r="819" spans="1:12" ht="24" x14ac:dyDescent="0.15">
      <c r="A819" s="36">
        <v>818</v>
      </c>
      <c r="B819" s="3" t="s">
        <v>41</v>
      </c>
      <c r="C819" s="4" t="str">
        <f>"0002938806"</f>
        <v>0002938806</v>
      </c>
      <c r="D819" s="5" t="str">
        <f t="shared" ref="D819:D839" si="44">"経済人 / 日本経済新聞社編 ; 1 - 24.-- 復刻版.-- 日本経済新聞社; 2004.6.-- (私の履歴書 / 日本経済新聞社編)."</f>
        <v>経済人 / 日本経済新聞社編 ; 1 - 24.-- 復刻版.-- 日本経済新聞社; 2004.6.-- (私の履歴書 / 日本経済新聞社編).</v>
      </c>
      <c r="E819" s="5" t="str">
        <f>"1"</f>
        <v>1</v>
      </c>
      <c r="F819" s="26"/>
      <c r="G819" s="27" t="str">
        <f>"332.8/ﾆﾎ/1"</f>
        <v>332.8/ﾆﾎ/1</v>
      </c>
      <c r="H819" s="4" t="str">
        <f t="shared" ref="H819:H847" si="45">"2009/03/10"</f>
        <v>2009/03/10</v>
      </c>
      <c r="I819" s="6">
        <v>2835</v>
      </c>
      <c r="J819" s="6">
        <v>100</v>
      </c>
      <c r="K819" s="4" t="str">
        <f t="shared" si="42"/>
        <v>1  和書</v>
      </c>
      <c r="L819" s="7"/>
    </row>
    <row r="820" spans="1:12" ht="24" x14ac:dyDescent="0.15">
      <c r="A820" s="36">
        <v>819</v>
      </c>
      <c r="B820" s="3" t="s">
        <v>41</v>
      </c>
      <c r="C820" s="4" t="str">
        <f>"0002938813"</f>
        <v>0002938813</v>
      </c>
      <c r="D820" s="5" t="str">
        <f t="shared" si="44"/>
        <v>経済人 / 日本経済新聞社編 ; 1 - 24.-- 復刻版.-- 日本経済新聞社; 2004.6.-- (私の履歴書 / 日本経済新聞社編).</v>
      </c>
      <c r="E820" s="5" t="str">
        <f>"2"</f>
        <v>2</v>
      </c>
      <c r="F820" s="26"/>
      <c r="G820" s="27" t="str">
        <f>"332.8/ﾆﾎ/2"</f>
        <v>332.8/ﾆﾎ/2</v>
      </c>
      <c r="H820" s="4" t="str">
        <f t="shared" si="45"/>
        <v>2009/03/10</v>
      </c>
      <c r="I820" s="6">
        <v>2835</v>
      </c>
      <c r="J820" s="6">
        <v>100</v>
      </c>
      <c r="K820" s="4" t="str">
        <f t="shared" si="42"/>
        <v>1  和書</v>
      </c>
      <c r="L820" s="7"/>
    </row>
    <row r="821" spans="1:12" ht="24" x14ac:dyDescent="0.15">
      <c r="A821" s="36">
        <v>820</v>
      </c>
      <c r="B821" s="3" t="s">
        <v>41</v>
      </c>
      <c r="C821" s="4" t="str">
        <f>"0002938820"</f>
        <v>0002938820</v>
      </c>
      <c r="D821" s="5" t="str">
        <f t="shared" si="44"/>
        <v>経済人 / 日本経済新聞社編 ; 1 - 24.-- 復刻版.-- 日本経済新聞社; 2004.6.-- (私の履歴書 / 日本経済新聞社編).</v>
      </c>
      <c r="E821" s="5" t="str">
        <f>"3"</f>
        <v>3</v>
      </c>
      <c r="F821" s="26"/>
      <c r="G821" s="27" t="str">
        <f>"332.8/ﾆﾎ/3"</f>
        <v>332.8/ﾆﾎ/3</v>
      </c>
      <c r="H821" s="4" t="str">
        <f t="shared" si="45"/>
        <v>2009/03/10</v>
      </c>
      <c r="I821" s="6">
        <v>2835</v>
      </c>
      <c r="J821" s="6">
        <v>100</v>
      </c>
      <c r="K821" s="4" t="str">
        <f t="shared" si="42"/>
        <v>1  和書</v>
      </c>
      <c r="L821" s="7"/>
    </row>
    <row r="822" spans="1:12" ht="24" x14ac:dyDescent="0.15">
      <c r="A822" s="36">
        <v>821</v>
      </c>
      <c r="B822" s="3" t="s">
        <v>41</v>
      </c>
      <c r="C822" s="4" t="str">
        <f>"0002938837"</f>
        <v>0002938837</v>
      </c>
      <c r="D822" s="5" t="str">
        <f t="shared" si="44"/>
        <v>経済人 / 日本経済新聞社編 ; 1 - 24.-- 復刻版.-- 日本経済新聞社; 2004.6.-- (私の履歴書 / 日本経済新聞社編).</v>
      </c>
      <c r="E822" s="5" t="str">
        <f>"4"</f>
        <v>4</v>
      </c>
      <c r="F822" s="26"/>
      <c r="G822" s="27" t="str">
        <f>"332.8/ﾆﾎ/4"</f>
        <v>332.8/ﾆﾎ/4</v>
      </c>
      <c r="H822" s="4" t="str">
        <f t="shared" si="45"/>
        <v>2009/03/10</v>
      </c>
      <c r="I822" s="6">
        <v>2835</v>
      </c>
      <c r="J822" s="6">
        <v>100</v>
      </c>
      <c r="K822" s="4" t="str">
        <f t="shared" si="42"/>
        <v>1  和書</v>
      </c>
      <c r="L822" s="7"/>
    </row>
    <row r="823" spans="1:12" ht="24" x14ac:dyDescent="0.15">
      <c r="A823" s="36">
        <v>822</v>
      </c>
      <c r="B823" s="3" t="s">
        <v>41</v>
      </c>
      <c r="C823" s="4" t="str">
        <f>"0002938844"</f>
        <v>0002938844</v>
      </c>
      <c r="D823" s="5" t="str">
        <f t="shared" si="44"/>
        <v>経済人 / 日本経済新聞社編 ; 1 - 24.-- 復刻版.-- 日本経済新聞社; 2004.6.-- (私の履歴書 / 日本経済新聞社編).</v>
      </c>
      <c r="E823" s="5" t="str">
        <f>"5"</f>
        <v>5</v>
      </c>
      <c r="F823" s="26"/>
      <c r="G823" s="27" t="str">
        <f>"332.8/ﾆﾎ/5"</f>
        <v>332.8/ﾆﾎ/5</v>
      </c>
      <c r="H823" s="4" t="str">
        <f t="shared" si="45"/>
        <v>2009/03/10</v>
      </c>
      <c r="I823" s="6">
        <v>2835</v>
      </c>
      <c r="J823" s="6">
        <v>100</v>
      </c>
      <c r="K823" s="4" t="str">
        <f t="shared" si="42"/>
        <v>1  和書</v>
      </c>
      <c r="L823" s="7"/>
    </row>
    <row r="824" spans="1:12" ht="24" x14ac:dyDescent="0.15">
      <c r="A824" s="36">
        <v>823</v>
      </c>
      <c r="B824" s="3" t="s">
        <v>41</v>
      </c>
      <c r="C824" s="4" t="str">
        <f>"0002938851"</f>
        <v>0002938851</v>
      </c>
      <c r="D824" s="5" t="str">
        <f t="shared" si="44"/>
        <v>経済人 / 日本経済新聞社編 ; 1 - 24.-- 復刻版.-- 日本経済新聞社; 2004.6.-- (私の履歴書 / 日本経済新聞社編).</v>
      </c>
      <c r="E824" s="5" t="str">
        <f>"6"</f>
        <v>6</v>
      </c>
      <c r="F824" s="26"/>
      <c r="G824" s="27" t="str">
        <f>"332.8/ﾆﾎ/6"</f>
        <v>332.8/ﾆﾎ/6</v>
      </c>
      <c r="H824" s="4" t="str">
        <f t="shared" si="45"/>
        <v>2009/03/10</v>
      </c>
      <c r="I824" s="6">
        <v>2835</v>
      </c>
      <c r="J824" s="6">
        <v>100</v>
      </c>
      <c r="K824" s="4" t="str">
        <f t="shared" si="42"/>
        <v>1  和書</v>
      </c>
      <c r="L824" s="7"/>
    </row>
    <row r="825" spans="1:12" ht="24" x14ac:dyDescent="0.15">
      <c r="A825" s="36">
        <v>824</v>
      </c>
      <c r="B825" s="3" t="s">
        <v>41</v>
      </c>
      <c r="C825" s="4" t="str">
        <f>"0002938875"</f>
        <v>0002938875</v>
      </c>
      <c r="D825" s="5" t="str">
        <f t="shared" si="44"/>
        <v>経済人 / 日本経済新聞社編 ; 1 - 24.-- 復刻版.-- 日本経済新聞社; 2004.6.-- (私の履歴書 / 日本経済新聞社編).</v>
      </c>
      <c r="E825" s="5" t="str">
        <f>"8"</f>
        <v>8</v>
      </c>
      <c r="F825" s="26"/>
      <c r="G825" s="27" t="str">
        <f>"332.8/ﾆﾎ/8"</f>
        <v>332.8/ﾆﾎ/8</v>
      </c>
      <c r="H825" s="4" t="str">
        <f t="shared" si="45"/>
        <v>2009/03/10</v>
      </c>
      <c r="I825" s="6">
        <v>2835</v>
      </c>
      <c r="J825" s="6">
        <v>100</v>
      </c>
      <c r="K825" s="4" t="str">
        <f t="shared" si="42"/>
        <v>1  和書</v>
      </c>
      <c r="L825" s="7"/>
    </row>
    <row r="826" spans="1:12" ht="24" x14ac:dyDescent="0.15">
      <c r="A826" s="36">
        <v>825</v>
      </c>
      <c r="B826" s="3" t="s">
        <v>41</v>
      </c>
      <c r="C826" s="4" t="str">
        <f>"0002938882"</f>
        <v>0002938882</v>
      </c>
      <c r="D826" s="5" t="str">
        <f t="shared" si="44"/>
        <v>経済人 / 日本経済新聞社編 ; 1 - 24.-- 復刻版.-- 日本経済新聞社; 2004.6.-- (私の履歴書 / 日本経済新聞社編).</v>
      </c>
      <c r="E826" s="5" t="str">
        <f>"9"</f>
        <v>9</v>
      </c>
      <c r="F826" s="26"/>
      <c r="G826" s="27" t="str">
        <f>"332.8/ﾆﾎ/9"</f>
        <v>332.8/ﾆﾎ/9</v>
      </c>
      <c r="H826" s="4" t="str">
        <f t="shared" si="45"/>
        <v>2009/03/10</v>
      </c>
      <c r="I826" s="6">
        <v>2835</v>
      </c>
      <c r="J826" s="6">
        <v>100</v>
      </c>
      <c r="K826" s="4" t="str">
        <f t="shared" si="42"/>
        <v>1  和書</v>
      </c>
      <c r="L826" s="7"/>
    </row>
    <row r="827" spans="1:12" ht="24" x14ac:dyDescent="0.15">
      <c r="A827" s="36">
        <v>826</v>
      </c>
      <c r="B827" s="3" t="s">
        <v>41</v>
      </c>
      <c r="C827" s="4" t="str">
        <f>"0002938899"</f>
        <v>0002938899</v>
      </c>
      <c r="D827" s="5" t="str">
        <f t="shared" si="44"/>
        <v>経済人 / 日本経済新聞社編 ; 1 - 24.-- 復刻版.-- 日本経済新聞社; 2004.6.-- (私の履歴書 / 日本経済新聞社編).</v>
      </c>
      <c r="E827" s="5" t="str">
        <f>"10"</f>
        <v>10</v>
      </c>
      <c r="F827" s="26"/>
      <c r="G827" s="27" t="str">
        <f>"332.8/ﾆﾎ/10"</f>
        <v>332.8/ﾆﾎ/10</v>
      </c>
      <c r="H827" s="4" t="str">
        <f t="shared" si="45"/>
        <v>2009/03/10</v>
      </c>
      <c r="I827" s="6">
        <v>2835</v>
      </c>
      <c r="J827" s="6">
        <v>100</v>
      </c>
      <c r="K827" s="4" t="str">
        <f t="shared" si="42"/>
        <v>1  和書</v>
      </c>
      <c r="L827" s="7"/>
    </row>
    <row r="828" spans="1:12" ht="24" x14ac:dyDescent="0.15">
      <c r="A828" s="36">
        <v>827</v>
      </c>
      <c r="B828" s="3" t="s">
        <v>41</v>
      </c>
      <c r="C828" s="4" t="str">
        <f>"0002938905"</f>
        <v>0002938905</v>
      </c>
      <c r="D828" s="5" t="str">
        <f t="shared" si="44"/>
        <v>経済人 / 日本経済新聞社編 ; 1 - 24.-- 復刻版.-- 日本経済新聞社; 2004.6.-- (私の履歴書 / 日本経済新聞社編).</v>
      </c>
      <c r="E828" s="5" t="str">
        <f>"11"</f>
        <v>11</v>
      </c>
      <c r="F828" s="26"/>
      <c r="G828" s="27" t="str">
        <f>"332.8/ﾆﾎ/11"</f>
        <v>332.8/ﾆﾎ/11</v>
      </c>
      <c r="H828" s="4" t="str">
        <f t="shared" si="45"/>
        <v>2009/03/10</v>
      </c>
      <c r="I828" s="6">
        <v>2835</v>
      </c>
      <c r="J828" s="6">
        <v>100</v>
      </c>
      <c r="K828" s="4" t="str">
        <f t="shared" si="42"/>
        <v>1  和書</v>
      </c>
      <c r="L828" s="7"/>
    </row>
    <row r="829" spans="1:12" ht="24" x14ac:dyDescent="0.15">
      <c r="A829" s="36">
        <v>828</v>
      </c>
      <c r="B829" s="3" t="s">
        <v>41</v>
      </c>
      <c r="C829" s="4" t="str">
        <f>"0002938912"</f>
        <v>0002938912</v>
      </c>
      <c r="D829" s="5" t="str">
        <f t="shared" si="44"/>
        <v>経済人 / 日本経済新聞社編 ; 1 - 24.-- 復刻版.-- 日本経済新聞社; 2004.6.-- (私の履歴書 / 日本経済新聞社編).</v>
      </c>
      <c r="E829" s="5" t="str">
        <f>"12"</f>
        <v>12</v>
      </c>
      <c r="F829" s="26"/>
      <c r="G829" s="27" t="str">
        <f>"332.8/ﾆﾎ/12"</f>
        <v>332.8/ﾆﾎ/12</v>
      </c>
      <c r="H829" s="4" t="str">
        <f t="shared" si="45"/>
        <v>2009/03/10</v>
      </c>
      <c r="I829" s="6">
        <v>2835</v>
      </c>
      <c r="J829" s="6">
        <v>100</v>
      </c>
      <c r="K829" s="4" t="str">
        <f t="shared" ref="K829:K847" si="46">"1  和書"</f>
        <v>1  和書</v>
      </c>
      <c r="L829" s="7"/>
    </row>
    <row r="830" spans="1:12" ht="24" x14ac:dyDescent="0.15">
      <c r="A830" s="36">
        <v>829</v>
      </c>
      <c r="B830" s="3" t="s">
        <v>41</v>
      </c>
      <c r="C830" s="4" t="str">
        <f>"0002938929"</f>
        <v>0002938929</v>
      </c>
      <c r="D830" s="5" t="str">
        <f t="shared" si="44"/>
        <v>経済人 / 日本経済新聞社編 ; 1 - 24.-- 復刻版.-- 日本経済新聞社; 2004.6.-- (私の履歴書 / 日本経済新聞社編).</v>
      </c>
      <c r="E830" s="5" t="str">
        <f>"13"</f>
        <v>13</v>
      </c>
      <c r="F830" s="26"/>
      <c r="G830" s="27" t="str">
        <f>"332.8/ﾆﾎ/13"</f>
        <v>332.8/ﾆﾎ/13</v>
      </c>
      <c r="H830" s="4" t="str">
        <f t="shared" si="45"/>
        <v>2009/03/10</v>
      </c>
      <c r="I830" s="6">
        <v>2835</v>
      </c>
      <c r="J830" s="6">
        <v>100</v>
      </c>
      <c r="K830" s="4" t="str">
        <f t="shared" si="46"/>
        <v>1  和書</v>
      </c>
      <c r="L830" s="7"/>
    </row>
    <row r="831" spans="1:12" ht="24" x14ac:dyDescent="0.15">
      <c r="A831" s="36">
        <v>830</v>
      </c>
      <c r="B831" s="3" t="s">
        <v>41</v>
      </c>
      <c r="C831" s="4" t="str">
        <f>"0002938936"</f>
        <v>0002938936</v>
      </c>
      <c r="D831" s="5" t="str">
        <f t="shared" si="44"/>
        <v>経済人 / 日本経済新聞社編 ; 1 - 24.-- 復刻版.-- 日本経済新聞社; 2004.6.-- (私の履歴書 / 日本経済新聞社編).</v>
      </c>
      <c r="E831" s="5" t="str">
        <f>"14"</f>
        <v>14</v>
      </c>
      <c r="F831" s="26"/>
      <c r="G831" s="27" t="str">
        <f>"332.8/ﾆﾎ/14"</f>
        <v>332.8/ﾆﾎ/14</v>
      </c>
      <c r="H831" s="4" t="str">
        <f t="shared" si="45"/>
        <v>2009/03/10</v>
      </c>
      <c r="I831" s="6">
        <v>2835</v>
      </c>
      <c r="J831" s="6">
        <v>100</v>
      </c>
      <c r="K831" s="4" t="str">
        <f t="shared" si="46"/>
        <v>1  和書</v>
      </c>
      <c r="L831" s="7"/>
    </row>
    <row r="832" spans="1:12" ht="24" x14ac:dyDescent="0.15">
      <c r="A832" s="36">
        <v>831</v>
      </c>
      <c r="B832" s="3" t="s">
        <v>41</v>
      </c>
      <c r="C832" s="4" t="str">
        <f>"0002938943"</f>
        <v>0002938943</v>
      </c>
      <c r="D832" s="5" t="str">
        <f t="shared" si="44"/>
        <v>経済人 / 日本経済新聞社編 ; 1 - 24.-- 復刻版.-- 日本経済新聞社; 2004.6.-- (私の履歴書 / 日本経済新聞社編).</v>
      </c>
      <c r="E832" s="5" t="str">
        <f>"15"</f>
        <v>15</v>
      </c>
      <c r="F832" s="26"/>
      <c r="G832" s="27" t="str">
        <f>"332.8/ﾆﾎ/15"</f>
        <v>332.8/ﾆﾎ/15</v>
      </c>
      <c r="H832" s="4" t="str">
        <f t="shared" si="45"/>
        <v>2009/03/10</v>
      </c>
      <c r="I832" s="6">
        <v>2835</v>
      </c>
      <c r="J832" s="6">
        <v>100</v>
      </c>
      <c r="K832" s="4" t="str">
        <f t="shared" si="46"/>
        <v>1  和書</v>
      </c>
      <c r="L832" s="7"/>
    </row>
    <row r="833" spans="1:12" ht="24" x14ac:dyDescent="0.15">
      <c r="A833" s="36">
        <v>832</v>
      </c>
      <c r="B833" s="3" t="s">
        <v>41</v>
      </c>
      <c r="C833" s="4" t="str">
        <f>"0002938950"</f>
        <v>0002938950</v>
      </c>
      <c r="D833" s="5" t="str">
        <f t="shared" si="44"/>
        <v>経済人 / 日本経済新聞社編 ; 1 - 24.-- 復刻版.-- 日本経済新聞社; 2004.6.-- (私の履歴書 / 日本経済新聞社編).</v>
      </c>
      <c r="E833" s="5" t="str">
        <f>"16"</f>
        <v>16</v>
      </c>
      <c r="F833" s="26"/>
      <c r="G833" s="27" t="str">
        <f>"332.8/ﾆﾎ/16"</f>
        <v>332.8/ﾆﾎ/16</v>
      </c>
      <c r="H833" s="4" t="str">
        <f t="shared" si="45"/>
        <v>2009/03/10</v>
      </c>
      <c r="I833" s="6">
        <v>2835</v>
      </c>
      <c r="J833" s="6">
        <v>100</v>
      </c>
      <c r="K833" s="4" t="str">
        <f t="shared" si="46"/>
        <v>1  和書</v>
      </c>
      <c r="L833" s="7"/>
    </row>
    <row r="834" spans="1:12" ht="24" x14ac:dyDescent="0.15">
      <c r="A834" s="36">
        <v>833</v>
      </c>
      <c r="B834" s="3" t="s">
        <v>41</v>
      </c>
      <c r="C834" s="4" t="str">
        <f>"0002938967"</f>
        <v>0002938967</v>
      </c>
      <c r="D834" s="5" t="str">
        <f t="shared" si="44"/>
        <v>経済人 / 日本経済新聞社編 ; 1 - 24.-- 復刻版.-- 日本経済新聞社; 2004.6.-- (私の履歴書 / 日本経済新聞社編).</v>
      </c>
      <c r="E834" s="5" t="str">
        <f>"17"</f>
        <v>17</v>
      </c>
      <c r="F834" s="26"/>
      <c r="G834" s="27" t="str">
        <f>"332.8/ﾆﾎ/17"</f>
        <v>332.8/ﾆﾎ/17</v>
      </c>
      <c r="H834" s="4" t="str">
        <f t="shared" si="45"/>
        <v>2009/03/10</v>
      </c>
      <c r="I834" s="6">
        <v>2835</v>
      </c>
      <c r="J834" s="6">
        <v>100</v>
      </c>
      <c r="K834" s="4" t="str">
        <f t="shared" si="46"/>
        <v>1  和書</v>
      </c>
      <c r="L834" s="7"/>
    </row>
    <row r="835" spans="1:12" ht="24" x14ac:dyDescent="0.15">
      <c r="A835" s="36">
        <v>834</v>
      </c>
      <c r="B835" s="3" t="s">
        <v>41</v>
      </c>
      <c r="C835" s="4" t="str">
        <f>"0002938974"</f>
        <v>0002938974</v>
      </c>
      <c r="D835" s="5" t="str">
        <f t="shared" si="44"/>
        <v>経済人 / 日本経済新聞社編 ; 1 - 24.-- 復刻版.-- 日本経済新聞社; 2004.6.-- (私の履歴書 / 日本経済新聞社編).</v>
      </c>
      <c r="E835" s="5" t="str">
        <f>"18"</f>
        <v>18</v>
      </c>
      <c r="F835" s="26"/>
      <c r="G835" s="27" t="str">
        <f>"332.8/ﾆﾎ/18"</f>
        <v>332.8/ﾆﾎ/18</v>
      </c>
      <c r="H835" s="4" t="str">
        <f t="shared" si="45"/>
        <v>2009/03/10</v>
      </c>
      <c r="I835" s="6">
        <v>2835</v>
      </c>
      <c r="J835" s="6">
        <v>100</v>
      </c>
      <c r="K835" s="4" t="str">
        <f t="shared" si="46"/>
        <v>1  和書</v>
      </c>
      <c r="L835" s="7"/>
    </row>
    <row r="836" spans="1:12" ht="24" x14ac:dyDescent="0.15">
      <c r="A836" s="36">
        <v>835</v>
      </c>
      <c r="B836" s="3" t="s">
        <v>41</v>
      </c>
      <c r="C836" s="4" t="str">
        <f>"0002938981"</f>
        <v>0002938981</v>
      </c>
      <c r="D836" s="5" t="str">
        <f t="shared" si="44"/>
        <v>経済人 / 日本経済新聞社編 ; 1 - 24.-- 復刻版.-- 日本経済新聞社; 2004.6.-- (私の履歴書 / 日本経済新聞社編).</v>
      </c>
      <c r="E836" s="5" t="str">
        <f>"19"</f>
        <v>19</v>
      </c>
      <c r="F836" s="26"/>
      <c r="G836" s="27" t="str">
        <f>"332.8/ﾆﾎ/19"</f>
        <v>332.8/ﾆﾎ/19</v>
      </c>
      <c r="H836" s="4" t="str">
        <f t="shared" si="45"/>
        <v>2009/03/10</v>
      </c>
      <c r="I836" s="6">
        <v>2835</v>
      </c>
      <c r="J836" s="6">
        <v>100</v>
      </c>
      <c r="K836" s="4" t="str">
        <f t="shared" si="46"/>
        <v>1  和書</v>
      </c>
      <c r="L836" s="7"/>
    </row>
    <row r="837" spans="1:12" ht="24" x14ac:dyDescent="0.15">
      <c r="A837" s="36">
        <v>836</v>
      </c>
      <c r="B837" s="3" t="s">
        <v>41</v>
      </c>
      <c r="C837" s="4" t="str">
        <f>"0002938998"</f>
        <v>0002938998</v>
      </c>
      <c r="D837" s="5" t="str">
        <f t="shared" si="44"/>
        <v>経済人 / 日本経済新聞社編 ; 1 - 24.-- 復刻版.-- 日本経済新聞社; 2004.6.-- (私の履歴書 / 日本経済新聞社編).</v>
      </c>
      <c r="E837" s="5" t="str">
        <f>"20"</f>
        <v>20</v>
      </c>
      <c r="F837" s="26"/>
      <c r="G837" s="27" t="str">
        <f>"332.8/ﾆﾎ/20"</f>
        <v>332.8/ﾆﾎ/20</v>
      </c>
      <c r="H837" s="4" t="str">
        <f t="shared" si="45"/>
        <v>2009/03/10</v>
      </c>
      <c r="I837" s="6">
        <v>2835</v>
      </c>
      <c r="J837" s="6">
        <v>100</v>
      </c>
      <c r="K837" s="4" t="str">
        <f t="shared" si="46"/>
        <v>1  和書</v>
      </c>
      <c r="L837" s="7"/>
    </row>
    <row r="838" spans="1:12" ht="24" x14ac:dyDescent="0.15">
      <c r="A838" s="36">
        <v>837</v>
      </c>
      <c r="B838" s="3" t="s">
        <v>41</v>
      </c>
      <c r="C838" s="4" t="str">
        <f>"0002939001"</f>
        <v>0002939001</v>
      </c>
      <c r="D838" s="5" t="str">
        <f t="shared" si="44"/>
        <v>経済人 / 日本経済新聞社編 ; 1 - 24.-- 復刻版.-- 日本経済新聞社; 2004.6.-- (私の履歴書 / 日本経済新聞社編).</v>
      </c>
      <c r="E838" s="5" t="str">
        <f>"21"</f>
        <v>21</v>
      </c>
      <c r="F838" s="26"/>
      <c r="G838" s="27" t="str">
        <f>"332.8/ﾆﾎ/21"</f>
        <v>332.8/ﾆﾎ/21</v>
      </c>
      <c r="H838" s="4" t="str">
        <f t="shared" si="45"/>
        <v>2009/03/10</v>
      </c>
      <c r="I838" s="6">
        <v>2835</v>
      </c>
      <c r="J838" s="6">
        <v>100</v>
      </c>
      <c r="K838" s="4" t="str">
        <f t="shared" si="46"/>
        <v>1  和書</v>
      </c>
      <c r="L838" s="7"/>
    </row>
    <row r="839" spans="1:12" ht="24" x14ac:dyDescent="0.15">
      <c r="A839" s="36">
        <v>838</v>
      </c>
      <c r="B839" s="3" t="s">
        <v>41</v>
      </c>
      <c r="C839" s="4" t="str">
        <f>"0002939018"</f>
        <v>0002939018</v>
      </c>
      <c r="D839" s="5" t="str">
        <f t="shared" si="44"/>
        <v>経済人 / 日本経済新聞社編 ; 1 - 24.-- 復刻版.-- 日本経済新聞社; 2004.6.-- (私の履歴書 / 日本経済新聞社編).</v>
      </c>
      <c r="E839" s="5" t="str">
        <f>"22"</f>
        <v>22</v>
      </c>
      <c r="F839" s="26"/>
      <c r="G839" s="27" t="str">
        <f>"332.8/ﾆﾎ/22"</f>
        <v>332.8/ﾆﾎ/22</v>
      </c>
      <c r="H839" s="4" t="str">
        <f t="shared" si="45"/>
        <v>2009/03/10</v>
      </c>
      <c r="I839" s="6">
        <v>2835</v>
      </c>
      <c r="J839" s="6">
        <v>100</v>
      </c>
      <c r="K839" s="4" t="str">
        <f t="shared" si="46"/>
        <v>1  和書</v>
      </c>
      <c r="L839" s="7"/>
    </row>
    <row r="840" spans="1:12" ht="24" x14ac:dyDescent="0.15">
      <c r="A840" s="36">
        <v>839</v>
      </c>
      <c r="B840" s="3" t="s">
        <v>41</v>
      </c>
      <c r="C840" s="10" t="str">
        <f>"0001368338"</f>
        <v>0001368338</v>
      </c>
      <c r="D840" s="11" t="str">
        <f>"経済人 / 日本経済新聞社編 ; 1 - 別巻 総索引.-- 日本経済新聞社; 1980-2004.-- (私の履歴書 / 日本経済新聞社編)."</f>
        <v>経済人 / 日本経済新聞社編 ; 1 - 別巻 総索引.-- 日本経済新聞社; 1980-2004.-- (私の履歴書 / 日本経済新聞社編).</v>
      </c>
      <c r="E840" s="11" t="str">
        <f>"22"</f>
        <v>22</v>
      </c>
      <c r="F840" s="28" t="s">
        <v>8</v>
      </c>
      <c r="G840" s="29" t="str">
        <f>"332.8/ﾆﾎ/22"</f>
        <v>332.8/ﾆﾎ/22</v>
      </c>
      <c r="H840" s="10" t="str">
        <f>"1997/07/22"</f>
        <v>1997/07/22</v>
      </c>
      <c r="I840" s="12">
        <v>3190</v>
      </c>
      <c r="J840" s="12">
        <v>100</v>
      </c>
      <c r="K840" s="10" t="str">
        <f t="shared" si="46"/>
        <v>1  和書</v>
      </c>
      <c r="L840" s="13"/>
    </row>
    <row r="841" spans="1:12" ht="24" x14ac:dyDescent="0.15">
      <c r="A841" s="36">
        <v>840</v>
      </c>
      <c r="B841" s="3" t="s">
        <v>41</v>
      </c>
      <c r="C841" s="4" t="str">
        <f>"0002939025"</f>
        <v>0002939025</v>
      </c>
      <c r="D841" s="5" t="str">
        <f>"経済人 / 日本経済新聞社編 ; 1 - 24.-- 復刻版.-- 日本経済新聞社; 2004.6.-- (私の履歴書 / 日本経済新聞社編)."</f>
        <v>経済人 / 日本経済新聞社編 ; 1 - 24.-- 復刻版.-- 日本経済新聞社; 2004.6.-- (私の履歴書 / 日本経済新聞社編).</v>
      </c>
      <c r="E841" s="5" t="str">
        <f>"23"</f>
        <v>23</v>
      </c>
      <c r="F841" s="26"/>
      <c r="G841" s="27" t="str">
        <f>"332.8/ﾆﾎ/23"</f>
        <v>332.8/ﾆﾎ/23</v>
      </c>
      <c r="H841" s="4" t="str">
        <f t="shared" si="45"/>
        <v>2009/03/10</v>
      </c>
      <c r="I841" s="6">
        <v>2835</v>
      </c>
      <c r="J841" s="6">
        <v>100</v>
      </c>
      <c r="K841" s="4" t="str">
        <f t="shared" si="46"/>
        <v>1  和書</v>
      </c>
      <c r="L841" s="7"/>
    </row>
    <row r="842" spans="1:12" ht="24" x14ac:dyDescent="0.15">
      <c r="A842" s="36">
        <v>841</v>
      </c>
      <c r="B842" s="3" t="s">
        <v>41</v>
      </c>
      <c r="C842" s="4" t="str">
        <f>"0002939032"</f>
        <v>0002939032</v>
      </c>
      <c r="D842" s="5" t="str">
        <f>"経済人 / 日本経済新聞社編 ; 1 - 24.-- 復刻版.-- 日本経済新聞社; 2004.6.-- (私の履歴書 / 日本経済新聞社編)."</f>
        <v>経済人 / 日本経済新聞社編 ; 1 - 24.-- 復刻版.-- 日本経済新聞社; 2004.6.-- (私の履歴書 / 日本経済新聞社編).</v>
      </c>
      <c r="E842" s="5" t="str">
        <f>"24"</f>
        <v>24</v>
      </c>
      <c r="F842" s="26"/>
      <c r="G842" s="27" t="str">
        <f>"332.8/ﾆﾎ/24"</f>
        <v>332.8/ﾆﾎ/24</v>
      </c>
      <c r="H842" s="4" t="str">
        <f t="shared" si="45"/>
        <v>2009/03/10</v>
      </c>
      <c r="I842" s="6">
        <v>2835</v>
      </c>
      <c r="J842" s="6">
        <v>100</v>
      </c>
      <c r="K842" s="4" t="str">
        <f t="shared" si="46"/>
        <v>1  和書</v>
      </c>
      <c r="L842" s="7"/>
    </row>
    <row r="843" spans="1:12" ht="24" x14ac:dyDescent="0.15">
      <c r="A843" s="36">
        <v>842</v>
      </c>
      <c r="B843" s="3" t="s">
        <v>41</v>
      </c>
      <c r="C843" s="4" t="str">
        <f>"0002939049"</f>
        <v>0002939049</v>
      </c>
      <c r="D843" s="5" t="str">
        <f>"経済人 / 日本経済新聞社編 ; 25 - 別巻 総索引.-- 日本経済新聞社; 2004.6.-- (私の履歴書 / 日本経済新聞社編)."</f>
        <v>経済人 / 日本経済新聞社編 ; 25 - 別巻 総索引.-- 日本経済新聞社; 2004.6.-- (私の履歴書 / 日本経済新聞社編).</v>
      </c>
      <c r="E843" s="5" t="str">
        <f>"25"</f>
        <v>25</v>
      </c>
      <c r="F843" s="26"/>
      <c r="G843" s="27" t="str">
        <f>"332.8/ﾆﾎ/25"</f>
        <v>332.8/ﾆﾎ/25</v>
      </c>
      <c r="H843" s="4" t="str">
        <f t="shared" si="45"/>
        <v>2009/03/10</v>
      </c>
      <c r="I843" s="6">
        <v>2835</v>
      </c>
      <c r="J843" s="6">
        <v>100</v>
      </c>
      <c r="K843" s="4" t="str">
        <f t="shared" si="46"/>
        <v>1  和書</v>
      </c>
      <c r="L843" s="7"/>
    </row>
    <row r="844" spans="1:12" ht="24" x14ac:dyDescent="0.15">
      <c r="A844" s="36">
        <v>843</v>
      </c>
      <c r="B844" s="3" t="s">
        <v>41</v>
      </c>
      <c r="C844" s="4" t="str">
        <f>"0002939056"</f>
        <v>0002939056</v>
      </c>
      <c r="D844" s="5" t="str">
        <f>"経済人 / 日本経済新聞社編 ; 25 - 別巻 総索引.-- 日本経済新聞社; 2004.6.-- (私の履歴書 / 日本経済新聞社編)."</f>
        <v>経済人 / 日本経済新聞社編 ; 25 - 別巻 総索引.-- 日本経済新聞社; 2004.6.-- (私の履歴書 / 日本経済新聞社編).</v>
      </c>
      <c r="E844" s="5" t="str">
        <f>"26"</f>
        <v>26</v>
      </c>
      <c r="F844" s="26"/>
      <c r="G844" s="27" t="str">
        <f>"332.8/ﾆﾎ/26"</f>
        <v>332.8/ﾆﾎ/26</v>
      </c>
      <c r="H844" s="4" t="str">
        <f t="shared" si="45"/>
        <v>2009/03/10</v>
      </c>
      <c r="I844" s="6">
        <v>2835</v>
      </c>
      <c r="J844" s="6">
        <v>100</v>
      </c>
      <c r="K844" s="4" t="str">
        <f t="shared" si="46"/>
        <v>1  和書</v>
      </c>
      <c r="L844" s="7"/>
    </row>
    <row r="845" spans="1:12" ht="24" x14ac:dyDescent="0.15">
      <c r="A845" s="36">
        <v>844</v>
      </c>
      <c r="B845" s="3" t="s">
        <v>41</v>
      </c>
      <c r="C845" s="4" t="str">
        <f>"0002939063"</f>
        <v>0002939063</v>
      </c>
      <c r="D845" s="5" t="str">
        <f>"経済人 / 日本経済新聞社編 ; 25 - 別巻 総索引.-- 日本経済新聞社; 2004.6.-- (私の履歴書 / 日本経済新聞社編)."</f>
        <v>経済人 / 日本経済新聞社編 ; 25 - 別巻 総索引.-- 日本経済新聞社; 2004.6.-- (私の履歴書 / 日本経済新聞社編).</v>
      </c>
      <c r="E845" s="5" t="str">
        <f>"27"</f>
        <v>27</v>
      </c>
      <c r="F845" s="26"/>
      <c r="G845" s="27" t="str">
        <f>"332.8/ﾆﾎ/27"</f>
        <v>332.8/ﾆﾎ/27</v>
      </c>
      <c r="H845" s="4" t="str">
        <f t="shared" si="45"/>
        <v>2009/03/10</v>
      </c>
      <c r="I845" s="6">
        <v>2835</v>
      </c>
      <c r="J845" s="6">
        <v>100</v>
      </c>
      <c r="K845" s="4" t="str">
        <f t="shared" si="46"/>
        <v>1  和書</v>
      </c>
      <c r="L845" s="7"/>
    </row>
    <row r="846" spans="1:12" ht="24" x14ac:dyDescent="0.15">
      <c r="A846" s="36">
        <v>845</v>
      </c>
      <c r="B846" s="3" t="s">
        <v>41</v>
      </c>
      <c r="C846" s="4" t="str">
        <f>"0002939070"</f>
        <v>0002939070</v>
      </c>
      <c r="D846" s="5" t="str">
        <f>"経済人 / 日本経済新聞社編 ; 25 - 別巻 総索引.-- 日本経済新聞社; 2004.6.-- (私の履歴書 / 日本経済新聞社編)."</f>
        <v>経済人 / 日本経済新聞社編 ; 25 - 別巻 総索引.-- 日本経済新聞社; 2004.6.-- (私の履歴書 / 日本経済新聞社編).</v>
      </c>
      <c r="E846" s="5" t="str">
        <f>"28"</f>
        <v>28</v>
      </c>
      <c r="F846" s="26"/>
      <c r="G846" s="27" t="str">
        <f>"332.8/ﾆﾎ/28"</f>
        <v>332.8/ﾆﾎ/28</v>
      </c>
      <c r="H846" s="4" t="str">
        <f t="shared" si="45"/>
        <v>2009/03/10</v>
      </c>
      <c r="I846" s="6">
        <v>2835</v>
      </c>
      <c r="J846" s="6">
        <v>100</v>
      </c>
      <c r="K846" s="4" t="str">
        <f t="shared" si="46"/>
        <v>1  和書</v>
      </c>
      <c r="L846" s="7"/>
    </row>
    <row r="847" spans="1:12" ht="24" x14ac:dyDescent="0.15">
      <c r="A847" s="36">
        <v>846</v>
      </c>
      <c r="B847" s="3" t="s">
        <v>41</v>
      </c>
      <c r="C847" s="4" t="str">
        <f>"0002939087"</f>
        <v>0002939087</v>
      </c>
      <c r="D847" s="5" t="str">
        <f>"経済人 / 日本経済新聞社編 ; 25 - 別巻 総索引.-- 日本経済新聞社; 2004.6.-- (私の履歴書 / 日本経済新聞社編)."</f>
        <v>経済人 / 日本経済新聞社編 ; 25 - 別巻 総索引.-- 日本経済新聞社; 2004.6.-- (私の履歴書 / 日本経済新聞社編).</v>
      </c>
      <c r="E847" s="5" t="str">
        <f>"29"</f>
        <v>29</v>
      </c>
      <c r="F847" s="26"/>
      <c r="G847" s="27" t="str">
        <f>"332.8/ﾆﾎ/29"</f>
        <v>332.8/ﾆﾎ/29</v>
      </c>
      <c r="H847" s="4" t="str">
        <f t="shared" si="45"/>
        <v>2009/03/10</v>
      </c>
      <c r="I847" s="6">
        <v>2835</v>
      </c>
      <c r="J847" s="6">
        <v>100</v>
      </c>
      <c r="K847" s="4" t="str">
        <f t="shared" si="46"/>
        <v>1  和書</v>
      </c>
      <c r="L847" s="7"/>
    </row>
    <row r="848" spans="1:12" ht="24" x14ac:dyDescent="0.15">
      <c r="A848" s="36">
        <v>847</v>
      </c>
      <c r="B848" s="3" t="s">
        <v>41</v>
      </c>
      <c r="C848" s="4" t="str">
        <f>"0002549217"</f>
        <v>0002549217</v>
      </c>
      <c r="D848" s="5" t="str">
        <f>"Spaces of capital : towards a critical geography / David Harvey ; : hbk, : pbk.-- Edinburgh University Press; c2001."</f>
        <v>Spaces of capital : towards a critical geography / David Harvey ; : hbk, : pbk.-- Edinburgh University Press; c2001.</v>
      </c>
      <c r="E848" s="5" t="str">
        <f>": hbk"</f>
        <v>: hbk</v>
      </c>
      <c r="F848" s="26"/>
      <c r="G848" s="27" t="str">
        <f>"332.9/HA"</f>
        <v>332.9/HA</v>
      </c>
      <c r="H848" s="4" t="str">
        <f>"2003/10/28"</f>
        <v>2003/10/28</v>
      </c>
      <c r="I848" s="6">
        <v>12350</v>
      </c>
      <c r="J848" s="8">
        <v>500</v>
      </c>
      <c r="K848" s="4" t="str">
        <f>"2  洋書"</f>
        <v>2  洋書</v>
      </c>
      <c r="L848" s="7"/>
    </row>
    <row r="849" spans="1:12" x14ac:dyDescent="0.15">
      <c r="A849" s="36">
        <v>848</v>
      </c>
      <c r="B849" s="3" t="s">
        <v>41</v>
      </c>
      <c r="C849" s="4" t="str">
        <f>"0000725767"</f>
        <v>0000725767</v>
      </c>
      <c r="D849" s="5" t="str">
        <f>"経済地理学への道標 / 上野登著.-- 大明堂; 1968.3."</f>
        <v>経済地理学への道標 / 上野登著.-- 大明堂; 1968.3.</v>
      </c>
      <c r="E849" s="5" t="str">
        <f>""</f>
        <v/>
      </c>
      <c r="F849" s="26"/>
      <c r="G849" s="27" t="str">
        <f>"332.9/ｳｴ"</f>
        <v>332.9/ｳｴ</v>
      </c>
      <c r="H849" s="4" t="str">
        <f>"1995/03/31"</f>
        <v>1995/03/31</v>
      </c>
      <c r="I849" s="6">
        <v>1192</v>
      </c>
      <c r="J849" s="6">
        <v>100</v>
      </c>
      <c r="K849" s="4" t="str">
        <f t="shared" ref="K849:K857" si="47">"1  和書"</f>
        <v>1  和書</v>
      </c>
      <c r="L849" s="7"/>
    </row>
    <row r="850" spans="1:12" ht="36" x14ac:dyDescent="0.15">
      <c r="A850" s="36">
        <v>849</v>
      </c>
      <c r="B850" s="3" t="s">
        <v>41</v>
      </c>
      <c r="C850" s="4" t="str">
        <f>"0000631488"</f>
        <v>0000631488</v>
      </c>
      <c r="D850" s="5" t="str">
        <f>"ラテンアメリカ諸国の経済関係法 : アルゼンチン会社法・ブラジル経済力濫用禁止法 / 中川和彦, 矢谷通朗訳.-- アジア経済研究所.-- (経済協力シリーズ ; 第148号 . 法律)."</f>
        <v>ラテンアメリカ諸国の経済関係法 : アルゼンチン会社法・ブラジル経済力濫用禁止法 / 中川和彦, 矢谷通朗訳.-- アジア経済研究所.-- (経済協力シリーズ ; 第148号 . 法律).</v>
      </c>
      <c r="E850" s="5" t="str">
        <f>""</f>
        <v/>
      </c>
      <c r="F850" s="26"/>
      <c r="G850" s="27" t="str">
        <f>"333.09/ﾅｶ"</f>
        <v>333.09/ﾅｶ</v>
      </c>
      <c r="H850" s="4" t="str">
        <f>"1995/03/31"</f>
        <v>1995/03/31</v>
      </c>
      <c r="I850" s="6">
        <v>2544</v>
      </c>
      <c r="J850" s="6">
        <v>100</v>
      </c>
      <c r="K850" s="4" t="str">
        <f t="shared" si="47"/>
        <v>1  和書</v>
      </c>
      <c r="L850" s="7"/>
    </row>
    <row r="851" spans="1:12" ht="24" x14ac:dyDescent="0.15">
      <c r="A851" s="36">
        <v>850</v>
      </c>
      <c r="B851" s="3" t="s">
        <v>41</v>
      </c>
      <c r="C851" s="4" t="str">
        <f>"0002186306"</f>
        <v>0002186306</v>
      </c>
      <c r="D851" s="5" t="str">
        <f>"ゼミナール国際経済入門 / 伊藤元重著.-- 2版.-- 日本経済新聞社; 1996.12."</f>
        <v>ゼミナール国際経済入門 / 伊藤元重著.-- 2版.-- 日本経済新聞社; 1996.12.</v>
      </c>
      <c r="E851" s="5" t="str">
        <f>""</f>
        <v/>
      </c>
      <c r="F851" s="26"/>
      <c r="G851" s="27" t="str">
        <f>"333.6/ｲﾄ"</f>
        <v>333.6/ｲﾄ</v>
      </c>
      <c r="H851" s="4" t="str">
        <f>"2001/02/15"</f>
        <v>2001/02/15</v>
      </c>
      <c r="I851" s="6">
        <v>2741</v>
      </c>
      <c r="J851" s="6">
        <v>100</v>
      </c>
      <c r="K851" s="4" t="str">
        <f t="shared" si="47"/>
        <v>1  和書</v>
      </c>
      <c r="L851" s="7"/>
    </row>
    <row r="852" spans="1:12" ht="24" x14ac:dyDescent="0.15">
      <c r="A852" s="36">
        <v>851</v>
      </c>
      <c r="B852" s="3" t="s">
        <v>41</v>
      </c>
      <c r="C852" s="4" t="str">
        <f>"0002944777"</f>
        <v>0002944777</v>
      </c>
      <c r="D852" s="5" t="str">
        <f>"ゼミナール国際経済入門 / 伊藤元重著.-- 改訂3版.-- 日本経済新聞社; 2005.2."</f>
        <v>ゼミナール国際経済入門 / 伊藤元重著.-- 改訂3版.-- 日本経済新聞社; 2005.2.</v>
      </c>
      <c r="E852" s="5" t="str">
        <f>""</f>
        <v/>
      </c>
      <c r="F852" s="26"/>
      <c r="G852" s="27" t="str">
        <f>"333.6/ｲﾄ"</f>
        <v>333.6/ｲﾄ</v>
      </c>
      <c r="H852" s="4" t="str">
        <f>"2009/07/17"</f>
        <v>2009/07/17</v>
      </c>
      <c r="I852" s="6">
        <v>3024</v>
      </c>
      <c r="J852" s="6">
        <v>100</v>
      </c>
      <c r="K852" s="4" t="str">
        <f t="shared" si="47"/>
        <v>1  和書</v>
      </c>
      <c r="L852" s="7"/>
    </row>
    <row r="853" spans="1:12" ht="24" x14ac:dyDescent="0.15">
      <c r="A853" s="36">
        <v>852</v>
      </c>
      <c r="B853" s="3" t="s">
        <v>41</v>
      </c>
      <c r="C853" s="10" t="str">
        <f>"0001572339"</f>
        <v>0001572339</v>
      </c>
      <c r="D853" s="11" t="str">
        <f>"ゼミナール国際経済入門 / 伊藤元重著.-- 2版.-- 日本経済新聞社; 1996.12."</f>
        <v>ゼミナール国際経済入門 / 伊藤元重著.-- 2版.-- 日本経済新聞社; 1996.12.</v>
      </c>
      <c r="E853" s="11" t="str">
        <f>""</f>
        <v/>
      </c>
      <c r="F853" s="28" t="s">
        <v>8</v>
      </c>
      <c r="G853" s="29" t="str">
        <f>"333.6/ｲﾄ"</f>
        <v>333.6/ｲﾄ</v>
      </c>
      <c r="H853" s="10" t="str">
        <f>"1998/03/31"</f>
        <v>1998/03/31</v>
      </c>
      <c r="I853" s="12">
        <v>2618</v>
      </c>
      <c r="J853" s="12">
        <v>100</v>
      </c>
      <c r="K853" s="10" t="str">
        <f t="shared" si="47"/>
        <v>1  和書</v>
      </c>
      <c r="L853" s="13"/>
    </row>
    <row r="854" spans="1:12" ht="24" x14ac:dyDescent="0.15">
      <c r="A854" s="36">
        <v>853</v>
      </c>
      <c r="B854" s="3" t="s">
        <v>41</v>
      </c>
      <c r="C854" s="4" t="str">
        <f>"0002103082"</f>
        <v>0002103082</v>
      </c>
      <c r="D854" s="5" t="str">
        <f>"資本主義経済の幻想 : コモンセンスとしての経済学 / ポール・クルーグマン著 ; 北村行伸編訳.-- ダイヤモンド社; 1998.10."</f>
        <v>資本主義経済の幻想 : コモンセンスとしての経済学 / ポール・クルーグマン著 ; 北村行伸編訳.-- ダイヤモンド社; 1998.10.</v>
      </c>
      <c r="E854" s="5" t="str">
        <f>""</f>
        <v/>
      </c>
      <c r="F854" s="26"/>
      <c r="G854" s="27" t="str">
        <f>"333.6/ｸﾙ"</f>
        <v>333.6/ｸﾙ</v>
      </c>
      <c r="H854" s="4" t="str">
        <f>"1999/05/24"</f>
        <v>1999/05/24</v>
      </c>
      <c r="I854" s="6">
        <v>2268</v>
      </c>
      <c r="J854" s="6">
        <v>100</v>
      </c>
      <c r="K854" s="4" t="str">
        <f t="shared" si="47"/>
        <v>1  和書</v>
      </c>
      <c r="L854" s="7"/>
    </row>
    <row r="855" spans="1:12" ht="24" x14ac:dyDescent="0.15">
      <c r="A855" s="36">
        <v>854</v>
      </c>
      <c r="B855" s="3" t="s">
        <v>41</v>
      </c>
      <c r="C855" s="4" t="str">
        <f>"0002103174"</f>
        <v>0002103174</v>
      </c>
      <c r="D855" s="5" t="str">
        <f>"クルーグマンの良い経済学悪い経済学 / ポール・クルーグマン著 ; 山岡洋一訳.-- 日本経済新聞社; 1997.3."</f>
        <v>クルーグマンの良い経済学悪い経済学 / ポール・クルーグマン著 ; 山岡洋一訳.-- 日本経済新聞社; 1997.3.</v>
      </c>
      <c r="E855" s="5" t="str">
        <f>""</f>
        <v/>
      </c>
      <c r="F855" s="26"/>
      <c r="G855" s="27" t="str">
        <f>"333.6/ｸﾙ"</f>
        <v>333.6/ｸﾙ</v>
      </c>
      <c r="H855" s="4" t="str">
        <f>"1999/05/24"</f>
        <v>1999/05/24</v>
      </c>
      <c r="I855" s="6">
        <v>1606</v>
      </c>
      <c r="J855" s="6">
        <v>100</v>
      </c>
      <c r="K855" s="4" t="str">
        <f t="shared" si="47"/>
        <v>1  和書</v>
      </c>
      <c r="L855" s="7"/>
    </row>
    <row r="856" spans="1:12" ht="48" x14ac:dyDescent="0.15">
      <c r="A856" s="36">
        <v>855</v>
      </c>
      <c r="B856" s="3" t="s">
        <v>41</v>
      </c>
      <c r="C856" s="4" t="str">
        <f>"0002131207"</f>
        <v>0002131207</v>
      </c>
      <c r="D856" s="5" t="str">
        <f>"国際貿易 / P.R.クルグマン, M.オブズフェルド共著 ; 石井菜穂子 [ほか] 共訳.-- 第3版.-- 新世社.-- (新経済学ライブラリ ; 別巻6 . { 国際経済 : 理論と政策 / P.R.クルグマン, M.オブズフェルド共著 ; 石井菜穂子 [ほか] 共訳||コクサイ ケイザイ : リロン ト セイサク } ; 1)."</f>
        <v>国際貿易 / P.R.クルグマン, M.オブズフェルド共著 ; 石井菜穂子 [ほか] 共訳.-- 第3版.-- 新世社.-- (新経済学ライブラリ ; 別巻6 . { 国際経済 : 理論と政策 / P.R.クルグマン, M.オブズフェルド共著 ; 石井菜穂子 [ほか] 共訳||コクサイ ケイザイ : リロン ト セイサク } ; 1).</v>
      </c>
      <c r="E856" s="5" t="str">
        <f>""</f>
        <v/>
      </c>
      <c r="F856" s="26"/>
      <c r="G856" s="27" t="str">
        <f>"333.6/ｸﾙ/1"</f>
        <v>333.6/ｸﾙ/1</v>
      </c>
      <c r="H856" s="4" t="str">
        <f>"2000/02/07"</f>
        <v>2000/02/07</v>
      </c>
      <c r="I856" s="6">
        <v>3591</v>
      </c>
      <c r="J856" s="6">
        <v>100</v>
      </c>
      <c r="K856" s="4" t="str">
        <f t="shared" si="47"/>
        <v>1  和書</v>
      </c>
      <c r="L856" s="7"/>
    </row>
    <row r="857" spans="1:12" ht="48" x14ac:dyDescent="0.15">
      <c r="A857" s="36">
        <v>856</v>
      </c>
      <c r="B857" s="3" t="s">
        <v>41</v>
      </c>
      <c r="C857" s="4" t="str">
        <f>"0002103198"</f>
        <v>0002103198</v>
      </c>
      <c r="D857" s="5" t="str">
        <f>"国際マクロ経済学 / P.R.クルグマン, M.オブズフェルド共著 ; 石井菜穂子 [ほか] 訳.-- 第3版.-- 新世社.-- (新経済学ライブラリ ; 別巻7 . { 国際経済 : 理論と政策 / P.R.クルグマン, M.オブズフェルド共著 ; 石井菜穂子 [ほか] 共訳||コクサイ ケイザイ : リロン ト セイサク } ; 2)."</f>
        <v>国際マクロ経済学 / P.R.クルグマン, M.オブズフェルド共著 ; 石井菜穂子 [ほか] 訳.-- 第3版.-- 新世社.-- (新経済学ライブラリ ; 別巻7 . { 国際経済 : 理論と政策 / P.R.クルグマン, M.オブズフェルド共著 ; 石井菜穂子 [ほか] 共訳||コクサイ ケイザイ : リロン ト セイサク } ; 2).</v>
      </c>
      <c r="E857" s="5" t="str">
        <f>""</f>
        <v/>
      </c>
      <c r="F857" s="26"/>
      <c r="G857" s="27" t="str">
        <f>"333.6/ｸﾙ/2"</f>
        <v>333.6/ｸﾙ/2</v>
      </c>
      <c r="H857" s="4" t="str">
        <f>"1999/05/24"</f>
        <v>1999/05/24</v>
      </c>
      <c r="I857" s="6">
        <v>3780</v>
      </c>
      <c r="J857" s="6">
        <v>100</v>
      </c>
      <c r="K857" s="4" t="str">
        <f t="shared" si="47"/>
        <v>1  和書</v>
      </c>
      <c r="L857" s="7"/>
    </row>
    <row r="858" spans="1:12" ht="24" x14ac:dyDescent="0.15">
      <c r="A858" s="36">
        <v>857</v>
      </c>
      <c r="B858" s="3" t="s">
        <v>41</v>
      </c>
      <c r="C858" s="10" t="str">
        <f>"0000478205"</f>
        <v>0000478205</v>
      </c>
      <c r="D858" s="11" t="str">
        <f>"The EC, Eastern Europe and European unity : discord, collaboration, and integration since 1947 / Peter van Ham.-- Pinter Publishers; 1993."</f>
        <v>The EC, Eastern Europe and European unity : discord, collaboration, and integration since 1947 / Peter van Ham.-- Pinter Publishers; 1993.</v>
      </c>
      <c r="E858" s="11" t="str">
        <f>""</f>
        <v/>
      </c>
      <c r="F858" s="28" t="s">
        <v>8</v>
      </c>
      <c r="G858" s="29" t="str">
        <f>"333.7/HA"</f>
        <v>333.7/HA</v>
      </c>
      <c r="H858" s="10" t="str">
        <f>"1994/08/22"</f>
        <v>1994/08/22</v>
      </c>
      <c r="I858" s="12">
        <v>12607</v>
      </c>
      <c r="J858" s="14">
        <v>500</v>
      </c>
      <c r="K858" s="10" t="str">
        <f>"2  洋書"</f>
        <v>2  洋書</v>
      </c>
      <c r="L858" s="13"/>
    </row>
    <row r="859" spans="1:12" ht="24" x14ac:dyDescent="0.15">
      <c r="A859" s="36">
        <v>858</v>
      </c>
      <c r="B859" s="3" t="s">
        <v>41</v>
      </c>
      <c r="C859" s="4" t="str">
        <f>"0002122724"</f>
        <v>0002122724</v>
      </c>
      <c r="D859" s="5" t="str">
        <f>"アフリカ : 国民国家の矛盾を超えて共生へ / 北川勝彦編.-- 大月書店; 1999.3.-- (「南」から見た世界 / 木畑洋一 [ほか] 編 ; 03)."</f>
        <v>アフリカ : 国民国家の矛盾を超えて共生へ / 北川勝彦編.-- 大月書店; 1999.3.-- (「南」から見た世界 / 木畑洋一 [ほか] 編 ; 03).</v>
      </c>
      <c r="E859" s="5" t="str">
        <f>""</f>
        <v/>
      </c>
      <c r="F859" s="26"/>
      <c r="G859" s="27" t="str">
        <f>"333.8/ｷﾊﾞ/3"</f>
        <v>333.8/ｷﾊﾞ/3</v>
      </c>
      <c r="H859" s="4" t="str">
        <f>"1999/11/22"</f>
        <v>1999/11/22</v>
      </c>
      <c r="I859" s="6">
        <v>2362</v>
      </c>
      <c r="J859" s="6">
        <v>100</v>
      </c>
      <c r="K859" s="4" t="str">
        <f t="shared" ref="K859:K922" si="48">"1  和書"</f>
        <v>1  和書</v>
      </c>
      <c r="L859" s="7"/>
    </row>
    <row r="860" spans="1:12" ht="24" x14ac:dyDescent="0.15">
      <c r="A860" s="36">
        <v>859</v>
      </c>
      <c r="B860" s="3" t="s">
        <v>41</v>
      </c>
      <c r="C860" s="4" t="str">
        <f>"0003128770"</f>
        <v>0003128770</v>
      </c>
      <c r="D860" s="5" t="str">
        <f>"開発経済学 : 貧困削減から持続的発展へ / 高梨和紘編著.-- 慶應義塾大学出版会; 2005.10."</f>
        <v>開発経済学 : 貧困削減から持続的発展へ / 高梨和紘編著.-- 慶應義塾大学出版会; 2005.10.</v>
      </c>
      <c r="E860" s="5" t="str">
        <f>""</f>
        <v/>
      </c>
      <c r="F860" s="26"/>
      <c r="G860" s="27" t="str">
        <f>"333.8/ﾀｶ"</f>
        <v>333.8/ﾀｶ</v>
      </c>
      <c r="H860" s="4" t="str">
        <f>"2011/09/15"</f>
        <v>2011/09/15</v>
      </c>
      <c r="I860" s="6">
        <v>3591</v>
      </c>
      <c r="J860" s="6">
        <v>100</v>
      </c>
      <c r="K860" s="4" t="str">
        <f t="shared" si="48"/>
        <v>1  和書</v>
      </c>
      <c r="L860" s="7"/>
    </row>
    <row r="861" spans="1:12" ht="24" x14ac:dyDescent="0.15">
      <c r="A861" s="36">
        <v>860</v>
      </c>
      <c r="B861" s="3" t="s">
        <v>41</v>
      </c>
      <c r="C861" s="4" t="str">
        <f>"0002405124"</f>
        <v>0002405124</v>
      </c>
      <c r="D861" s="5" t="str">
        <f>"M・トダロの開発経済学 / マイケル・P・トダロ著 ; OCDI開発経済研究会訳.-- 国際協力出版会; 1997.10."</f>
        <v>M・トダロの開発経済学 / マイケル・P・トダロ著 ; OCDI開発経済研究会訳.-- 国際協力出版会; 1997.10.</v>
      </c>
      <c r="E861" s="5" t="str">
        <f>""</f>
        <v/>
      </c>
      <c r="F861" s="26"/>
      <c r="G861" s="27" t="str">
        <f>"333.8/ﾄﾀﾞ"</f>
        <v>333.8/ﾄﾀﾞ</v>
      </c>
      <c r="H861" s="4" t="str">
        <f>"2001/09/21"</f>
        <v>2001/09/21</v>
      </c>
      <c r="I861" s="6">
        <v>5222</v>
      </c>
      <c r="J861" s="6">
        <v>100</v>
      </c>
      <c r="K861" s="4" t="str">
        <f t="shared" si="48"/>
        <v>1  和書</v>
      </c>
      <c r="L861" s="7"/>
    </row>
    <row r="862" spans="1:12" ht="36" x14ac:dyDescent="0.15">
      <c r="A862" s="36">
        <v>861</v>
      </c>
      <c r="B862" s="3" t="s">
        <v>41</v>
      </c>
      <c r="C862" s="4" t="str">
        <f>"0000072083"</f>
        <v>0000072083</v>
      </c>
      <c r="D862" s="5" t="str">
        <f>"途上国の経済開発 : 世界銀行35年の経験と教訓 / W・C・バウム, S・M・トルバート著 ; 細見卓監修 ; OECF開発援助研究会訳 ; 上, 下.-- 東洋経済新報社; 1988.4."</f>
        <v>途上国の経済開発 : 世界銀行35年の経験と教訓 / W・C・バウム, S・M・トルバート著 ; 細見卓監修 ; OECF開発援助研究会訳 ; 上, 下.-- 東洋経済新報社; 1988.4.</v>
      </c>
      <c r="E862" s="5" t="str">
        <f>"上"</f>
        <v>上</v>
      </c>
      <c r="F862" s="26"/>
      <c r="G862" s="27" t="str">
        <f>"333.8/ﾊﾞｳ/1"</f>
        <v>333.8/ﾊﾞｳ/1</v>
      </c>
      <c r="H862" s="4" t="str">
        <f>"1994/03/31"</f>
        <v>1994/03/31</v>
      </c>
      <c r="I862" s="6">
        <v>4640</v>
      </c>
      <c r="J862" s="6">
        <v>100</v>
      </c>
      <c r="K862" s="4" t="str">
        <f t="shared" si="48"/>
        <v>1  和書</v>
      </c>
      <c r="L862" s="7"/>
    </row>
    <row r="863" spans="1:12" ht="36" x14ac:dyDescent="0.15">
      <c r="A863" s="36">
        <v>862</v>
      </c>
      <c r="B863" s="3" t="s">
        <v>41</v>
      </c>
      <c r="C863" s="4" t="str">
        <f>"0000058537"</f>
        <v>0000058537</v>
      </c>
      <c r="D863" s="5" t="str">
        <f>"途上国の経済開発 : 世界銀行35年の経験と教訓 / W・C・バウム, S・M・トルバート著 ; 細見卓監修 ; OECF開発援助研究会訳 ; 上, 下.-- 東洋経済新報社; 1988.4."</f>
        <v>途上国の経済開発 : 世界銀行35年の経験と教訓 / W・C・バウム, S・M・トルバート著 ; 細見卓監修 ; OECF開発援助研究会訳 ; 上, 下.-- 東洋経済新報社; 1988.4.</v>
      </c>
      <c r="E863" s="5" t="str">
        <f>"下"</f>
        <v>下</v>
      </c>
      <c r="F863" s="26"/>
      <c r="G863" s="27" t="str">
        <f>"333.8/ﾊﾞｳ/2"</f>
        <v>333.8/ﾊﾞｳ/2</v>
      </c>
      <c r="H863" s="4" t="str">
        <f>"1994/03/31"</f>
        <v>1994/03/31</v>
      </c>
      <c r="I863" s="6">
        <v>3977</v>
      </c>
      <c r="J863" s="6">
        <v>100</v>
      </c>
      <c r="K863" s="4" t="str">
        <f t="shared" si="48"/>
        <v>1  和書</v>
      </c>
      <c r="L863" s="7"/>
    </row>
    <row r="864" spans="1:12" ht="24" x14ac:dyDescent="0.15">
      <c r="A864" s="36">
        <v>863</v>
      </c>
      <c r="B864" s="3" t="s">
        <v>41</v>
      </c>
      <c r="C864" s="4" t="str">
        <f>"0002903903"</f>
        <v>0002903903</v>
      </c>
      <c r="D864" s="5" t="str">
        <f>"市民・政府・NGO : 「力の剥奪」からエンパワーメントへ / ジョン・フリードマン著 ; 斉藤千宏, 雨森孝悦監訳.-- 新評論; 1995.5."</f>
        <v>市民・政府・NGO : 「力の剥奪」からエンパワーメントへ / ジョン・フリードマン著 ; 斉藤千宏, 雨森孝悦監訳.-- 新評論; 1995.5.</v>
      </c>
      <c r="E864" s="5" t="str">
        <f>""</f>
        <v/>
      </c>
      <c r="F864" s="26"/>
      <c r="G864" s="27" t="str">
        <f>"333.8/ﾌﾘ"</f>
        <v>333.8/ﾌﾘ</v>
      </c>
      <c r="H864" s="4" t="str">
        <f>"2006/07/20"</f>
        <v>2006/07/20</v>
      </c>
      <c r="I864" s="6">
        <v>3213</v>
      </c>
      <c r="J864" s="6">
        <v>100</v>
      </c>
      <c r="K864" s="4" t="str">
        <f t="shared" si="48"/>
        <v>1  和書</v>
      </c>
      <c r="L864" s="7"/>
    </row>
    <row r="865" spans="1:12" ht="24" x14ac:dyDescent="0.15">
      <c r="A865" s="36">
        <v>864</v>
      </c>
      <c r="B865" s="3" t="s">
        <v>41</v>
      </c>
      <c r="C865" s="10" t="str">
        <f>"0002656793"</f>
        <v>0002656793</v>
      </c>
      <c r="D865" s="11" t="str">
        <f>"国際化とアイデンティティ / 梶田孝道編著.-- ミネルヴァ書房; 2001.12.-- (講座・社会変動 ; 7)."</f>
        <v>国際化とアイデンティティ / 梶田孝道編著.-- ミネルヴァ書房; 2001.12.-- (講座・社会変動 ; 7).</v>
      </c>
      <c r="E865" s="11" t="str">
        <f>""</f>
        <v/>
      </c>
      <c r="F865" s="28" t="s">
        <v>8</v>
      </c>
      <c r="G865" s="29" t="str">
        <f>"334.41/ｶｼﾞ"</f>
        <v>334.41/ｶｼﾞ</v>
      </c>
      <c r="H865" s="10" t="str">
        <f>"2004/02/17"</f>
        <v>2004/02/17</v>
      </c>
      <c r="I865" s="12">
        <v>3307</v>
      </c>
      <c r="J865" s="12">
        <v>100</v>
      </c>
      <c r="K865" s="10" t="str">
        <f t="shared" si="48"/>
        <v>1  和書</v>
      </c>
      <c r="L865" s="13"/>
    </row>
    <row r="866" spans="1:12" ht="24" x14ac:dyDescent="0.15">
      <c r="A866" s="36">
        <v>865</v>
      </c>
      <c r="B866" s="3" t="s">
        <v>41</v>
      </c>
      <c r="C866" s="4" t="str">
        <f>"0003116784"</f>
        <v>0003116784</v>
      </c>
      <c r="D866" s="5" t="str">
        <f>"多文化共生キーワード事典 / 多文化共生キーワード事典編集委員会編.-- 改訂版.-- 明石書店; 2010.5."</f>
        <v>多文化共生キーワード事典 / 多文化共生キーワード事典編集委員会編.-- 改訂版.-- 明石書店; 2010.5.</v>
      </c>
      <c r="E866" s="5" t="str">
        <f>""</f>
        <v/>
      </c>
      <c r="F866" s="26"/>
      <c r="G866" s="27" t="str">
        <f>"334.4/ﾀﾌﾞ"</f>
        <v>334.4/ﾀﾌﾞ</v>
      </c>
      <c r="H866" s="4" t="str">
        <f>"2010/09/14"</f>
        <v>2010/09/14</v>
      </c>
      <c r="I866" s="6">
        <v>1890</v>
      </c>
      <c r="J866" s="6">
        <v>100</v>
      </c>
      <c r="K866" s="4" t="str">
        <f t="shared" si="48"/>
        <v>1  和書</v>
      </c>
      <c r="L866" s="7"/>
    </row>
    <row r="867" spans="1:12" x14ac:dyDescent="0.15">
      <c r="A867" s="36">
        <v>866</v>
      </c>
      <c r="B867" s="3" t="s">
        <v>41</v>
      </c>
      <c r="C867" s="4" t="str">
        <f>"0001386103"</f>
        <v>0001386103</v>
      </c>
      <c r="D867" s="5" t="str">
        <f>"アイルランド土地政策史 / 高橋純一著.-- 社会評論社; 1997.9."</f>
        <v>アイルランド土地政策史 / 高橋純一著.-- 社会評論社; 1997.9.</v>
      </c>
      <c r="E867" s="5" t="str">
        <f>""</f>
        <v/>
      </c>
      <c r="F867" s="26"/>
      <c r="G867" s="27" t="str">
        <f>"334.6/ﾀｶ"</f>
        <v>334.6/ﾀｶ</v>
      </c>
      <c r="H867" s="4" t="str">
        <f>"1997/12/09"</f>
        <v>1997/12/09</v>
      </c>
      <c r="I867" s="6">
        <v>3591</v>
      </c>
      <c r="J867" s="6">
        <v>100</v>
      </c>
      <c r="K867" s="4" t="str">
        <f t="shared" si="48"/>
        <v>1  和書</v>
      </c>
      <c r="L867" s="7"/>
    </row>
    <row r="868" spans="1:12" x14ac:dyDescent="0.15">
      <c r="A868" s="36">
        <v>867</v>
      </c>
      <c r="B868" s="3" t="s">
        <v>41</v>
      </c>
      <c r="C868" s="4" t="str">
        <f>"0000550598"</f>
        <v>0000550598</v>
      </c>
      <c r="D868" s="5" t="str">
        <f>"土地の経済学 / 野口悠紀雄著.-- 日本経済新聞社; 1989.2."</f>
        <v>土地の経済学 / 野口悠紀雄著.-- 日本経済新聞社; 1989.2.</v>
      </c>
      <c r="E868" s="5" t="str">
        <f>""</f>
        <v/>
      </c>
      <c r="F868" s="26"/>
      <c r="G868" s="27" t="str">
        <f>"334.6/ﾉｸﾞ"</f>
        <v>334.6/ﾉｸﾞ</v>
      </c>
      <c r="H868" s="4" t="str">
        <f>"1995/03/29"</f>
        <v>1995/03/29</v>
      </c>
      <c r="I868" s="6">
        <v>1367</v>
      </c>
      <c r="J868" s="6">
        <v>100</v>
      </c>
      <c r="K868" s="4" t="str">
        <f t="shared" si="48"/>
        <v>1  和書</v>
      </c>
      <c r="L868" s="7"/>
    </row>
    <row r="869" spans="1:12" ht="24" x14ac:dyDescent="0.15">
      <c r="A869" s="36">
        <v>868</v>
      </c>
      <c r="B869" s="3" t="s">
        <v>41</v>
      </c>
      <c r="C869" s="4" t="str">
        <f>"0000700504"</f>
        <v>0000700504</v>
      </c>
      <c r="D869" s="5" t="str">
        <f>"枯渇性資源の経済分析 / 時政勗著.-- 牧野書店.-- (経済の情報と数理 / 児玉正憲編 ; 8)."</f>
        <v>枯渇性資源の経済分析 / 時政勗著.-- 牧野書店.-- (経済の情報と数理 / 児玉正憲編 ; 8).</v>
      </c>
      <c r="E869" s="5" t="str">
        <f>""</f>
        <v/>
      </c>
      <c r="F869" s="26"/>
      <c r="G869" s="27" t="str">
        <f>"334.7/ﾄｷ"</f>
        <v>334.7/ﾄｷ</v>
      </c>
      <c r="H869" s="4" t="str">
        <f>"1995/03/31"</f>
        <v>1995/03/31</v>
      </c>
      <c r="I869" s="6">
        <v>2267</v>
      </c>
      <c r="J869" s="6">
        <v>100</v>
      </c>
      <c r="K869" s="4" t="str">
        <f t="shared" si="48"/>
        <v>1  和書</v>
      </c>
      <c r="L869" s="7"/>
    </row>
    <row r="870" spans="1:12" ht="36" x14ac:dyDescent="0.15">
      <c r="A870" s="36">
        <v>869</v>
      </c>
      <c r="B870" s="3" t="s">
        <v>41</v>
      </c>
      <c r="C870" s="4" t="str">
        <f>"0000650953"</f>
        <v>0000650953</v>
      </c>
      <c r="D870" s="5" t="str">
        <f>"米ソ比較経営学 : アメリカ経営技術のソ連による摂取過程と現状 / ジェームズ C.トムソン, リチャード F.ヴィドマー著 ; 片岡信之監訳.-- ナウカ; 1986.5."</f>
        <v>米ソ比較経営学 : アメリカ経営技術のソ連による摂取過程と現状 / ジェームズ C.トムソン, リチャード F.ヴィドマー著 ; 片岡信之監訳.-- ナウカ; 1986.5.</v>
      </c>
      <c r="E870" s="5" t="str">
        <f>""</f>
        <v/>
      </c>
      <c r="F870" s="26"/>
      <c r="G870" s="27" t="str">
        <f>"335.1/ﾄﾑ"</f>
        <v>335.1/ﾄﾑ</v>
      </c>
      <c r="H870" s="4" t="str">
        <f>"1995/03/31"</f>
        <v>1995/03/31</v>
      </c>
      <c r="I870" s="6">
        <v>2226</v>
      </c>
      <c r="J870" s="6">
        <v>100</v>
      </c>
      <c r="K870" s="4" t="str">
        <f t="shared" si="48"/>
        <v>1  和書</v>
      </c>
      <c r="L870" s="7"/>
    </row>
    <row r="871" spans="1:12" x14ac:dyDescent="0.15">
      <c r="A871" s="36">
        <v>870</v>
      </c>
      <c r="B871" s="3" t="s">
        <v>41</v>
      </c>
      <c r="C871" s="4" t="str">
        <f>"0000683227"</f>
        <v>0000683227</v>
      </c>
      <c r="D871" s="5" t="str">
        <f>"経営学と会計情報 / 矢吹耀男著.-- 第4版.-- 白桃書房; 1993.4."</f>
        <v>経営学と会計情報 / 矢吹耀男著.-- 第4版.-- 白桃書房; 1993.4.</v>
      </c>
      <c r="E871" s="5" t="str">
        <f>""</f>
        <v/>
      </c>
      <c r="F871" s="26"/>
      <c r="G871" s="27" t="str">
        <f>"335.1/ﾔﾌﾞ"</f>
        <v>335.1/ﾔﾌﾞ</v>
      </c>
      <c r="H871" s="4" t="str">
        <f>"1995/03/31"</f>
        <v>1995/03/31</v>
      </c>
      <c r="I871" s="6">
        <v>2038</v>
      </c>
      <c r="J871" s="6">
        <v>100</v>
      </c>
      <c r="K871" s="4" t="str">
        <f t="shared" si="48"/>
        <v>1  和書</v>
      </c>
      <c r="L871" s="7"/>
    </row>
    <row r="872" spans="1:12" ht="36" x14ac:dyDescent="0.15">
      <c r="A872" s="36">
        <v>871</v>
      </c>
      <c r="B872" s="3" t="s">
        <v>41</v>
      </c>
      <c r="C872" s="4" t="str">
        <f>"0001102000"</f>
        <v>0001102000</v>
      </c>
      <c r="D872" s="5" t="str">
        <f>"企業とは何か / 伊丹敬之, 加護野忠男, 伊藤元重編.-- 有斐閣; 1993.1.-- (リーディングス日本の企業システム / 伊丹敬之, 加護野忠男, 伊藤元重編 ; [第1期] ; 第1巻)."</f>
        <v>企業とは何か / 伊丹敬之, 加護野忠男, 伊藤元重編.-- 有斐閣; 1993.1.-- (リーディングス日本の企業システム / 伊丹敬之, 加護野忠男, 伊藤元重編 ; [第1期] ; 第1巻).</v>
      </c>
      <c r="E872" s="5" t="str">
        <f>""</f>
        <v/>
      </c>
      <c r="F872" s="26"/>
      <c r="G872" s="27" t="str">
        <f>"335.21/ｲﾀ/1"</f>
        <v>335.21/ｲﾀ/1</v>
      </c>
      <c r="H872" s="4" t="str">
        <f>"1996/03/29"</f>
        <v>1996/03/29</v>
      </c>
      <c r="I872" s="6">
        <v>2172</v>
      </c>
      <c r="J872" s="6">
        <v>100</v>
      </c>
      <c r="K872" s="4" t="str">
        <f t="shared" si="48"/>
        <v>1  和書</v>
      </c>
      <c r="L872" s="7"/>
    </row>
    <row r="873" spans="1:12" ht="36" x14ac:dyDescent="0.15">
      <c r="A873" s="36">
        <v>872</v>
      </c>
      <c r="B873" s="3" t="s">
        <v>41</v>
      </c>
      <c r="C873" s="4" t="str">
        <f>"0001003369"</f>
        <v>0001003369</v>
      </c>
      <c r="D873" s="5" t="str">
        <f>"組織と戦略 / 伊丹敬之, 加護野忠男, 伊藤元重編.-- 有斐閣; 1993.4.-- (リーディングス日本の企業システム / 伊丹敬之, 加護野忠男, 伊藤元重編 ; [第1期] ; 第2巻)."</f>
        <v>組織と戦略 / 伊丹敬之, 加護野忠男, 伊藤元重編.-- 有斐閣; 1993.4.-- (リーディングス日本の企業システム / 伊丹敬之, 加護野忠男, 伊藤元重編 ; [第1期] ; 第2巻).</v>
      </c>
      <c r="E873" s="5" t="str">
        <f>""</f>
        <v/>
      </c>
      <c r="F873" s="26"/>
      <c r="G873" s="27" t="str">
        <f>"335.21/ｲﾀ/2"</f>
        <v>335.21/ｲﾀ/2</v>
      </c>
      <c r="H873" s="4" t="str">
        <f>"1996/03/29"</f>
        <v>1996/03/29</v>
      </c>
      <c r="I873" s="6">
        <v>2284</v>
      </c>
      <c r="J873" s="6">
        <v>100</v>
      </c>
      <c r="K873" s="4" t="str">
        <f t="shared" si="48"/>
        <v>1  和書</v>
      </c>
      <c r="L873" s="7"/>
    </row>
    <row r="874" spans="1:12" ht="36" x14ac:dyDescent="0.15">
      <c r="A874" s="36">
        <v>873</v>
      </c>
      <c r="B874" s="3" t="s">
        <v>41</v>
      </c>
      <c r="C874" s="4" t="str">
        <f>"0002124445"</f>
        <v>0002124445</v>
      </c>
      <c r="D874" s="5" t="str">
        <f>"人的資源 / 伊丹敬之, 加護野忠男, 伊藤元重編.-- 有斐閣; 1993.5.-- (リーディングス日本の企業システム / 伊丹敬之, 加護野忠男, 伊藤元重編 ; [第1期] ; 第3巻)."</f>
        <v>人的資源 / 伊丹敬之, 加護野忠男, 伊藤元重編.-- 有斐閣; 1993.5.-- (リーディングス日本の企業システム / 伊丹敬之, 加護野忠男, 伊藤元重編 ; [第1期] ; 第3巻).</v>
      </c>
      <c r="E874" s="5" t="str">
        <f>""</f>
        <v/>
      </c>
      <c r="F874" s="26"/>
      <c r="G874" s="27" t="str">
        <f>"335.21/ｲﾀ/3"</f>
        <v>335.21/ｲﾀ/3</v>
      </c>
      <c r="H874" s="4" t="str">
        <f>"1999/12/07"</f>
        <v>1999/12/07</v>
      </c>
      <c r="I874" s="6">
        <v>2362</v>
      </c>
      <c r="J874" s="6">
        <v>100</v>
      </c>
      <c r="K874" s="4" t="str">
        <f t="shared" si="48"/>
        <v>1  和書</v>
      </c>
      <c r="L874" s="7"/>
    </row>
    <row r="875" spans="1:12" ht="36" x14ac:dyDescent="0.15">
      <c r="A875" s="36">
        <v>874</v>
      </c>
      <c r="B875" s="3" t="s">
        <v>41</v>
      </c>
      <c r="C875" s="4" t="str">
        <f>"0002124452"</f>
        <v>0002124452</v>
      </c>
      <c r="D875" s="5" t="str">
        <f>"企業と市場 / 伊丹敬之, 加護野忠男, 伊藤元重編.-- 有斐閣; 1993.8.-- (リーディングス日本の企業システム / 伊丹敬之, 加護野忠男, 伊藤元重編 ; [第1期] ; 第4巻)."</f>
        <v>企業と市場 / 伊丹敬之, 加護野忠男, 伊藤元重編.-- 有斐閣; 1993.8.-- (リーディングス日本の企業システム / 伊丹敬之, 加護野忠男, 伊藤元重編 ; [第1期] ; 第4巻).</v>
      </c>
      <c r="E875" s="5" t="str">
        <f>""</f>
        <v/>
      </c>
      <c r="F875" s="26"/>
      <c r="G875" s="27" t="str">
        <f>"335.21/ｲﾀ/4"</f>
        <v>335.21/ｲﾀ/4</v>
      </c>
      <c r="H875" s="4" t="str">
        <f>"1999/12/07"</f>
        <v>1999/12/07</v>
      </c>
      <c r="I875" s="6">
        <v>2646</v>
      </c>
      <c r="J875" s="6">
        <v>100</v>
      </c>
      <c r="K875" s="4" t="str">
        <f t="shared" si="48"/>
        <v>1  和書</v>
      </c>
      <c r="L875" s="7"/>
    </row>
    <row r="876" spans="1:12" ht="36" x14ac:dyDescent="0.15">
      <c r="A876" s="36">
        <v>875</v>
      </c>
      <c r="B876" s="3" t="s">
        <v>41</v>
      </c>
      <c r="C876" s="4" t="str">
        <f>"0000613668"</f>
        <v>0000613668</v>
      </c>
      <c r="D876" s="5" t="str">
        <f>"経営者の時代 : アメリカ産業における近代企業の成立 / アルフレッド・D・チャンドラー Jr.著 ; 鳥羽欽一郎, 小林袈裟治訳 ; 上, 下.-- 東洋経済新報社; 1979.10-1979.11."</f>
        <v>経営者の時代 : アメリカ産業における近代企業の成立 / アルフレッド・D・チャンドラー Jr.著 ; 鳥羽欽一郎, 小林袈裟治訳 ; 上, 下.-- 東洋経済新報社; 1979.10-1979.11.</v>
      </c>
      <c r="E876" s="5" t="str">
        <f>"上"</f>
        <v>上</v>
      </c>
      <c r="F876" s="26"/>
      <c r="G876" s="27" t="str">
        <f>"335.25/ﾁﾔ/1"</f>
        <v>335.25/ﾁﾔ/1</v>
      </c>
      <c r="H876" s="4" t="str">
        <f>"1995/03/31"</f>
        <v>1995/03/31</v>
      </c>
      <c r="I876" s="6">
        <v>3860</v>
      </c>
      <c r="J876" s="6">
        <v>100</v>
      </c>
      <c r="K876" s="4" t="str">
        <f t="shared" si="48"/>
        <v>1  和書</v>
      </c>
      <c r="L876" s="7"/>
    </row>
    <row r="877" spans="1:12" ht="24" x14ac:dyDescent="0.15">
      <c r="A877" s="36">
        <v>876</v>
      </c>
      <c r="B877" s="3" t="s">
        <v>41</v>
      </c>
      <c r="C877" s="4" t="str">
        <f>"0001167160"</f>
        <v>0001167160</v>
      </c>
      <c r="D877" s="5" t="str">
        <f>"理論とケースで学ぶ国際ビジネス / 江夏健一, 桑名義晴編著 ; IBI国際ビジネス研究センター著.-- 新版.-- 同文舘出版; 2006.11."</f>
        <v>理論とケースで学ぶ国際ビジネス / 江夏健一, 桑名義晴編著 ; IBI国際ビジネス研究センター著.-- 新版.-- 同文舘出版; 2006.11.</v>
      </c>
      <c r="E877" s="5" t="str">
        <f>""</f>
        <v/>
      </c>
      <c r="F877" s="26"/>
      <c r="G877" s="27" t="str">
        <f>"335.5/ｴﾅ"</f>
        <v>335.5/ｴﾅ</v>
      </c>
      <c r="H877" s="4" t="str">
        <f>"2007/02/05"</f>
        <v>2007/02/05</v>
      </c>
      <c r="I877" s="6">
        <v>2630</v>
      </c>
      <c r="J877" s="6">
        <v>100</v>
      </c>
      <c r="K877" s="4" t="str">
        <f t="shared" si="48"/>
        <v>1  和書</v>
      </c>
      <c r="L877" s="7"/>
    </row>
    <row r="878" spans="1:12" x14ac:dyDescent="0.15">
      <c r="A878" s="36">
        <v>877</v>
      </c>
      <c r="B878" s="3" t="s">
        <v>41</v>
      </c>
      <c r="C878" s="4" t="str">
        <f>"0000683104"</f>
        <v>0000683104</v>
      </c>
      <c r="D878" s="5" t="str">
        <f>"多国籍企業の法規制 / 久保欣哉編.-- 中央経済社; 1993.11."</f>
        <v>多国籍企業の法規制 / 久保欣哉編.-- 中央経済社; 1993.11.</v>
      </c>
      <c r="E878" s="5" t="str">
        <f>""</f>
        <v/>
      </c>
      <c r="F878" s="26"/>
      <c r="G878" s="27" t="str">
        <f>"335.5/ｸﾎﾞ"</f>
        <v>335.5/ｸﾎﾞ</v>
      </c>
      <c r="H878" s="4" t="str">
        <f>"1995/03/31"</f>
        <v>1995/03/31</v>
      </c>
      <c r="I878" s="6">
        <v>6113</v>
      </c>
      <c r="J878" s="6">
        <v>100</v>
      </c>
      <c r="K878" s="4" t="str">
        <f t="shared" si="48"/>
        <v>1  和書</v>
      </c>
      <c r="L878" s="7"/>
    </row>
    <row r="879" spans="1:12" ht="24" x14ac:dyDescent="0.15">
      <c r="A879" s="36">
        <v>878</v>
      </c>
      <c r="B879" s="3" t="s">
        <v>41</v>
      </c>
      <c r="C879" s="4" t="str">
        <f>"0001531336"</f>
        <v>0001531336</v>
      </c>
      <c r="D879" s="5" t="str">
        <f>"国際ビジネス・クラシックス / J・C・ベーカー, J・K・ライアンズ,Jr., D・G・ハワード編 ; 中島潤[ほか]監訳 ; AIB Japan訳.-- 文真堂; 1990.10."</f>
        <v>国際ビジネス・クラシックス / J・C・ベーカー, J・K・ライアンズ,Jr., D・G・ハワード編 ; 中島潤[ほか]監訳 ; AIB Japan訳.-- 文真堂; 1990.10.</v>
      </c>
      <c r="E879" s="5" t="str">
        <f>""</f>
        <v/>
      </c>
      <c r="F879" s="26"/>
      <c r="G879" s="27" t="str">
        <f>"335.5/ﾍﾞｶ"</f>
        <v>335.5/ﾍﾞｶ</v>
      </c>
      <c r="H879" s="4" t="str">
        <f>"1997/03/31"</f>
        <v>1997/03/31</v>
      </c>
      <c r="I879" s="6">
        <v>8680</v>
      </c>
      <c r="J879" s="6">
        <v>100</v>
      </c>
      <c r="K879" s="4" t="str">
        <f t="shared" si="48"/>
        <v>1  和書</v>
      </c>
      <c r="L879" s="7"/>
    </row>
    <row r="880" spans="1:12" ht="24" x14ac:dyDescent="0.15">
      <c r="A880" s="36">
        <v>879</v>
      </c>
      <c r="B880" s="3" t="s">
        <v>41</v>
      </c>
      <c r="C880" s="4" t="str">
        <f>"0001117912"</f>
        <v>0001117912</v>
      </c>
      <c r="D880" s="5" t="str">
        <f>"多国籍企業の法的研究 : 入江啓四郎先生追悼 / 宮崎繁樹編.-- 成文堂; 1980.8."</f>
        <v>多国籍企業の法的研究 : 入江啓四郎先生追悼 / 宮崎繁樹編.-- 成文堂; 1980.8.</v>
      </c>
      <c r="E880" s="5" t="str">
        <f>""</f>
        <v/>
      </c>
      <c r="F880" s="26"/>
      <c r="G880" s="27" t="str">
        <f>"335.5/ﾐﾔ"</f>
        <v>335.5/ﾐﾔ</v>
      </c>
      <c r="H880" s="4" t="str">
        <f>"1996/03/29"</f>
        <v>1996/03/29</v>
      </c>
      <c r="I880" s="6">
        <v>5302</v>
      </c>
      <c r="J880" s="6">
        <v>100</v>
      </c>
      <c r="K880" s="4" t="str">
        <f t="shared" si="48"/>
        <v>1  和書</v>
      </c>
      <c r="L880" s="7"/>
    </row>
    <row r="881" spans="1:12" ht="24" x14ac:dyDescent="0.15">
      <c r="A881" s="36">
        <v>880</v>
      </c>
      <c r="B881" s="3" t="s">
        <v>41</v>
      </c>
      <c r="C881" s="4" t="str">
        <f>"0001102024"</f>
        <v>0001102024</v>
      </c>
      <c r="D881" s="5" t="str">
        <f>"リエンジニアリングVSリストラクチャリング / 平田周著.-- 日刊工業新聞社; 1994.1."</f>
        <v>リエンジニアリングVSリストラクチャリング / 平田周著.-- 日刊工業新聞社; 1994.1.</v>
      </c>
      <c r="E881" s="5" t="str">
        <f>""</f>
        <v/>
      </c>
      <c r="F881" s="26"/>
      <c r="G881" s="27" t="str">
        <f>"336/ﾋﾗ"</f>
        <v>336/ﾋﾗ</v>
      </c>
      <c r="H881" s="4" t="str">
        <f>"1996/03/29"</f>
        <v>1996/03/29</v>
      </c>
      <c r="I881" s="6">
        <v>1417</v>
      </c>
      <c r="J881" s="6">
        <v>100</v>
      </c>
      <c r="K881" s="4" t="str">
        <f t="shared" si="48"/>
        <v>1  和書</v>
      </c>
      <c r="L881" s="7"/>
    </row>
    <row r="882" spans="1:12" ht="24" x14ac:dyDescent="0.15">
      <c r="A882" s="36">
        <v>881</v>
      </c>
      <c r="B882" s="3" t="s">
        <v>41</v>
      </c>
      <c r="C882" s="4" t="str">
        <f>"0000694056"</f>
        <v>0000694056</v>
      </c>
      <c r="D882" s="5" t="str">
        <f>"研究開発のグローバル化 : 外資系企業の事例を中心として / 岩田智著.-- 文眞堂; 1994.6."</f>
        <v>研究開発のグローバル化 : 外資系企業の事例を中心として / 岩田智著.-- 文眞堂; 1994.6.</v>
      </c>
      <c r="E882" s="5" t="str">
        <f>""</f>
        <v/>
      </c>
      <c r="F882" s="26"/>
      <c r="G882" s="27" t="str">
        <f>"336.17/ｲﾜ"</f>
        <v>336.17/ｲﾜ</v>
      </c>
      <c r="H882" s="4" t="str">
        <f>"1995/03/31"</f>
        <v>1995/03/31</v>
      </c>
      <c r="I882" s="6">
        <v>2434</v>
      </c>
      <c r="J882" s="6">
        <v>100</v>
      </c>
      <c r="K882" s="4" t="str">
        <f t="shared" si="48"/>
        <v>1  和書</v>
      </c>
      <c r="L882" s="7"/>
    </row>
    <row r="883" spans="1:12" ht="24" x14ac:dyDescent="0.15">
      <c r="A883" s="36">
        <v>882</v>
      </c>
      <c r="B883" s="3" t="s">
        <v>41</v>
      </c>
      <c r="C883" s="4" t="str">
        <f>"0000693134"</f>
        <v>0000693134</v>
      </c>
      <c r="D883" s="5" t="str">
        <f>"発明行為と技術構想 : 技術と特許の経営史的位相 / 大河内暁男著.-- 東京大学出版会; 1992.3."</f>
        <v>発明行為と技術構想 : 技術と特許の経営史的位相 / 大河内暁男著.-- 東京大学出版会; 1992.3.</v>
      </c>
      <c r="E883" s="5" t="str">
        <f>""</f>
        <v/>
      </c>
      <c r="F883" s="26"/>
      <c r="G883" s="27" t="str">
        <f>"336.17/ｵｵ"</f>
        <v>336.17/ｵｵ</v>
      </c>
      <c r="H883" s="4" t="str">
        <f>"1995/03/31"</f>
        <v>1995/03/31</v>
      </c>
      <c r="I883" s="6">
        <v>3260</v>
      </c>
      <c r="J883" s="6">
        <v>100</v>
      </c>
      <c r="K883" s="4" t="str">
        <f t="shared" si="48"/>
        <v>1  和書</v>
      </c>
      <c r="L883" s="7"/>
    </row>
    <row r="884" spans="1:12" ht="24" x14ac:dyDescent="0.15">
      <c r="A884" s="36">
        <v>883</v>
      </c>
      <c r="B884" s="3" t="s">
        <v>41</v>
      </c>
      <c r="C884" s="4" t="str">
        <f>"0002386515"</f>
        <v>0002386515</v>
      </c>
      <c r="D884" s="5" t="str">
        <f>"競争と協調の技術戦略 : 21世紀のIT戦略 / 野口祐, 林倬史, 夏目啓二編著.-- ミネルヴァ書房; 1999.5.-- (叢書現代経営学 ; 10)."</f>
        <v>競争と協調の技術戦略 : 21世紀のIT戦略 / 野口祐, 林倬史, 夏目啓二編著.-- ミネルヴァ書房; 1999.5.-- (叢書現代経営学 ; 10).</v>
      </c>
      <c r="E884" s="5" t="str">
        <f>""</f>
        <v/>
      </c>
      <c r="F884" s="26"/>
      <c r="G884" s="27" t="str">
        <f>"336.17/ﾉｸﾞ"</f>
        <v>336.17/ﾉｸﾞ</v>
      </c>
      <c r="H884" s="4" t="str">
        <f>"2001/03/30"</f>
        <v>2001/03/30</v>
      </c>
      <c r="I884" s="6">
        <v>3039</v>
      </c>
      <c r="J884" s="6">
        <v>100</v>
      </c>
      <c r="K884" s="4" t="str">
        <f t="shared" si="48"/>
        <v>1  和書</v>
      </c>
      <c r="L884" s="7"/>
    </row>
    <row r="885" spans="1:12" ht="24" x14ac:dyDescent="0.15">
      <c r="A885" s="36">
        <v>884</v>
      </c>
      <c r="B885" s="3" t="s">
        <v>41</v>
      </c>
      <c r="C885" s="4" t="str">
        <f>"0000520485"</f>
        <v>0000520485</v>
      </c>
      <c r="D885" s="5" t="str">
        <f>"オペレーションズ・リサーチ : モデル化と最適化 / 大鹿讓, 一森哲男著.-- 共立出版; 1993.3."</f>
        <v>オペレーションズ・リサーチ : モデル化と最適化 / 大鹿讓, 一森哲男著.-- 共立出版; 1993.3.</v>
      </c>
      <c r="E885" s="5" t="str">
        <f>""</f>
        <v/>
      </c>
      <c r="F885" s="26"/>
      <c r="G885" s="27" t="str">
        <f>"336.1/ｵｵ"</f>
        <v>336.1/ｵｵ</v>
      </c>
      <c r="H885" s="4" t="str">
        <f>"1995/01/13"</f>
        <v>1995/01/13</v>
      </c>
      <c r="I885" s="6">
        <v>2039</v>
      </c>
      <c r="J885" s="6">
        <v>100</v>
      </c>
      <c r="K885" s="4" t="str">
        <f t="shared" si="48"/>
        <v>1  和書</v>
      </c>
      <c r="L885" s="7"/>
    </row>
    <row r="886" spans="1:12" ht="24" x14ac:dyDescent="0.15">
      <c r="A886" s="36">
        <v>885</v>
      </c>
      <c r="B886" s="3" t="s">
        <v>41</v>
      </c>
      <c r="C886" s="4" t="str">
        <f>"0000691123"</f>
        <v>0000691123</v>
      </c>
      <c r="D886" s="5" t="str">
        <f>"オペレーションズ・リサーチ : モデル化と最適化 / 大鹿讓, 一森哲男著.-- 共立出版; 1993.3."</f>
        <v>オペレーションズ・リサーチ : モデル化と最適化 / 大鹿讓, 一森哲男著.-- 共立出版; 1993.3.</v>
      </c>
      <c r="E886" s="5" t="str">
        <f>""</f>
        <v/>
      </c>
      <c r="F886" s="26"/>
      <c r="G886" s="27" t="str">
        <f>"336.1/ｵｵ"</f>
        <v>336.1/ｵｵ</v>
      </c>
      <c r="H886" s="4" t="str">
        <f>"1995/03/31"</f>
        <v>1995/03/31</v>
      </c>
      <c r="I886" s="6">
        <v>1847</v>
      </c>
      <c r="J886" s="6">
        <v>100</v>
      </c>
      <c r="K886" s="4" t="str">
        <f t="shared" si="48"/>
        <v>1  和書</v>
      </c>
      <c r="L886" s="7"/>
    </row>
    <row r="887" spans="1:12" ht="36" x14ac:dyDescent="0.15">
      <c r="A887" s="36">
        <v>886</v>
      </c>
      <c r="B887" s="3" t="s">
        <v>41</v>
      </c>
      <c r="C887" s="4" t="str">
        <f>"0000863964"</f>
        <v>0000863964</v>
      </c>
      <c r="D887" s="5" t="str">
        <f>"戦略的思考とは何か : エール大学式「ゲーム理論」の発想法 / アビナッシュ・ディキシット, バリー・ネイルバフ著 ; 菅野隆, 嶋津祐一訳.-- TBSブリタニカ; 1991.10."</f>
        <v>戦略的思考とは何か : エール大学式「ゲーム理論」の発想法 / アビナッシュ・ディキシット, バリー・ネイルバフ著 ; 菅野隆, 嶋津祐一訳.-- TBSブリタニカ; 1991.10.</v>
      </c>
      <c r="E887" s="5" t="str">
        <f>""</f>
        <v/>
      </c>
      <c r="F887" s="26"/>
      <c r="G887" s="27" t="str">
        <f>"336.1/ﾃﾞｲ"</f>
        <v>336.1/ﾃﾞｲ</v>
      </c>
      <c r="H887" s="4" t="str">
        <f>"1995/07/19"</f>
        <v>1995/07/19</v>
      </c>
      <c r="I887" s="6">
        <v>3420</v>
      </c>
      <c r="J887" s="6">
        <v>100</v>
      </c>
      <c r="K887" s="4" t="str">
        <f t="shared" si="48"/>
        <v>1  和書</v>
      </c>
      <c r="L887" s="7"/>
    </row>
    <row r="888" spans="1:12" x14ac:dyDescent="0.15">
      <c r="A888" s="36">
        <v>887</v>
      </c>
      <c r="B888" s="3" t="s">
        <v>41</v>
      </c>
      <c r="C888" s="4" t="str">
        <f>"0001260649"</f>
        <v>0001260649</v>
      </c>
      <c r="D888" s="5" t="str">
        <f>"現代ORセミナー / 西田俊夫, 田畑吉雄編.-- 現代数学社; 1995.3."</f>
        <v>現代ORセミナー / 西田俊夫, 田畑吉雄編.-- 現代数学社; 1995.3.</v>
      </c>
      <c r="E888" s="5" t="str">
        <f>""</f>
        <v/>
      </c>
      <c r="F888" s="26"/>
      <c r="G888" s="27" t="str">
        <f>"336.1/ﾆｼ"</f>
        <v>336.1/ﾆｼ</v>
      </c>
      <c r="H888" s="4" t="str">
        <f>"1996/01/26"</f>
        <v>1996/01/26</v>
      </c>
      <c r="I888" s="6">
        <v>3986</v>
      </c>
      <c r="J888" s="6">
        <v>100</v>
      </c>
      <c r="K888" s="4" t="str">
        <f t="shared" si="48"/>
        <v>1  和書</v>
      </c>
      <c r="L888" s="7"/>
    </row>
    <row r="889" spans="1:12" x14ac:dyDescent="0.15">
      <c r="A889" s="36">
        <v>888</v>
      </c>
      <c r="B889" s="3" t="s">
        <v>41</v>
      </c>
      <c r="C889" s="10" t="str">
        <f>"0000946124"</f>
        <v>0000946124</v>
      </c>
      <c r="D889" s="11" t="str">
        <f>"現代ORセミナー / 西田俊夫, 田畑吉雄編.-- 現代数学社; 1995.3."</f>
        <v>現代ORセミナー / 西田俊夫, 田畑吉雄編.-- 現代数学社; 1995.3.</v>
      </c>
      <c r="E889" s="11" t="str">
        <f>""</f>
        <v/>
      </c>
      <c r="F889" s="28" t="s">
        <v>8</v>
      </c>
      <c r="G889" s="29" t="str">
        <f>"336.1/ﾆｼ"</f>
        <v>336.1/ﾆｼ</v>
      </c>
      <c r="H889" s="10" t="str">
        <f>"1996/03/28"</f>
        <v>1996/03/28</v>
      </c>
      <c r="I889" s="12">
        <v>3980</v>
      </c>
      <c r="J889" s="12">
        <v>100</v>
      </c>
      <c r="K889" s="10" t="str">
        <f t="shared" si="48"/>
        <v>1  和書</v>
      </c>
      <c r="L889" s="13"/>
    </row>
    <row r="890" spans="1:12" ht="24" x14ac:dyDescent="0.15">
      <c r="A890" s="36">
        <v>889</v>
      </c>
      <c r="B890" s="3" t="s">
        <v>41</v>
      </c>
      <c r="C890" s="4" t="str">
        <f>"0000246606"</f>
        <v>0000246606</v>
      </c>
      <c r="D890" s="5" t="str">
        <f>"経営情報論 : CIM &amp; SIS / 松行康夫著.-- 補正第2版.-- 創成社; 1993.3.-- (新しい時代の経営学選書 ; 15)."</f>
        <v>経営情報論 : CIM &amp; SIS / 松行康夫著.-- 補正第2版.-- 創成社; 1993.3.-- (新しい時代の経営学選書 ; 15).</v>
      </c>
      <c r="E890" s="5" t="str">
        <f>""</f>
        <v/>
      </c>
      <c r="F890" s="26"/>
      <c r="G890" s="27" t="str">
        <f>"336.17/ﾏﾂ"</f>
        <v>336.17/ﾏﾂ</v>
      </c>
      <c r="H890" s="4" t="str">
        <f>"1994/03/31"</f>
        <v>1994/03/31</v>
      </c>
      <c r="I890" s="6">
        <v>2651</v>
      </c>
      <c r="J890" s="6">
        <v>100</v>
      </c>
      <c r="K890" s="4" t="str">
        <f t="shared" si="48"/>
        <v>1  和書</v>
      </c>
      <c r="L890" s="7"/>
    </row>
    <row r="891" spans="1:12" ht="24" x14ac:dyDescent="0.15">
      <c r="A891" s="36">
        <v>890</v>
      </c>
      <c r="B891" s="3" t="s">
        <v>41</v>
      </c>
      <c r="C891" s="10" t="str">
        <f>"0003125199"</f>
        <v>0003125199</v>
      </c>
      <c r="D891" s="11" t="str">
        <f>"人事管理入門 / 今野浩一郎著.-- 第2版.-- 日本経済新聞出版社; 2008.10.-- (日経文庫 ; 1190)."</f>
        <v>人事管理入門 / 今野浩一郎著.-- 第2版.-- 日本経済新聞出版社; 2008.10.-- (日経文庫 ; 1190).</v>
      </c>
      <c r="E891" s="11" t="str">
        <f>""</f>
        <v/>
      </c>
      <c r="F891" s="28" t="s">
        <v>8</v>
      </c>
      <c r="G891" s="29" t="str">
        <f>"336.4/ｲﾏ"</f>
        <v>336.4/ｲﾏ</v>
      </c>
      <c r="H891" s="10" t="str">
        <f>"2011/04/26"</f>
        <v>2011/04/26</v>
      </c>
      <c r="I891" s="12">
        <v>872</v>
      </c>
      <c r="J891" s="12">
        <v>100</v>
      </c>
      <c r="K891" s="10" t="str">
        <f t="shared" si="48"/>
        <v>1  和書</v>
      </c>
      <c r="L891" s="13"/>
    </row>
    <row r="892" spans="1:12" ht="24" x14ac:dyDescent="0.15">
      <c r="A892" s="36">
        <v>891</v>
      </c>
      <c r="B892" s="3" t="s">
        <v>41</v>
      </c>
      <c r="C892" s="10" t="str">
        <f>"0003505618"</f>
        <v>0003505618</v>
      </c>
      <c r="D892" s="11" t="str">
        <f>"国際人的資源管理の比較分析 : 「多国籍内部労働市場」の視点から / 白木三秀著.-- 有斐閣; 2006.12."</f>
        <v>国際人的資源管理の比較分析 : 「多国籍内部労働市場」の視点から / 白木三秀著.-- 有斐閣; 2006.12.</v>
      </c>
      <c r="E892" s="11" t="str">
        <f>""</f>
        <v/>
      </c>
      <c r="F892" s="28" t="s">
        <v>8</v>
      </c>
      <c r="G892" s="29" t="str">
        <f>"336.4/ｼﾗ"</f>
        <v>336.4/ｼﾗ</v>
      </c>
      <c r="H892" s="10" t="str">
        <f>"2014/12/12"</f>
        <v>2014/12/12</v>
      </c>
      <c r="I892" s="12">
        <v>3402</v>
      </c>
      <c r="J892" s="12">
        <v>100</v>
      </c>
      <c r="K892" s="10" t="str">
        <f t="shared" si="48"/>
        <v>1  和書</v>
      </c>
      <c r="L892" s="13"/>
    </row>
    <row r="893" spans="1:12" x14ac:dyDescent="0.15">
      <c r="A893" s="36">
        <v>892</v>
      </c>
      <c r="B893" s="3" t="s">
        <v>41</v>
      </c>
      <c r="C893" s="4" t="str">
        <f>"0001027174"</f>
        <v>0001027174</v>
      </c>
      <c r="D893" s="5" t="str">
        <f>"日本企業の人的資源開発 / 鈴木典比古著.-- 文眞堂; 1993.6."</f>
        <v>日本企業の人的資源開発 / 鈴木典比古著.-- 文眞堂; 1993.6.</v>
      </c>
      <c r="E893" s="5" t="str">
        <f>""</f>
        <v/>
      </c>
      <c r="F893" s="26"/>
      <c r="G893" s="27" t="str">
        <f>"336.4/ｽｽﾞ"</f>
        <v>336.4/ｽｽﾞ</v>
      </c>
      <c r="H893" s="4" t="str">
        <f>"1996/03/29"</f>
        <v>1996/03/29</v>
      </c>
      <c r="I893" s="6">
        <v>2534</v>
      </c>
      <c r="J893" s="6">
        <v>100</v>
      </c>
      <c r="K893" s="4" t="str">
        <f t="shared" si="48"/>
        <v>1  和書</v>
      </c>
      <c r="L893" s="7"/>
    </row>
    <row r="894" spans="1:12" ht="24" x14ac:dyDescent="0.15">
      <c r="A894" s="36">
        <v>893</v>
      </c>
      <c r="B894" s="3" t="s">
        <v>41</v>
      </c>
      <c r="C894" s="4" t="str">
        <f>"0000702690"</f>
        <v>0000702690</v>
      </c>
      <c r="D894" s="5" t="str">
        <f>"人事労務管理 / 津田眞澂編著.-- ミネルヴァ書房; 1993.4.-- (Basic books)."</f>
        <v>人事労務管理 / 津田眞澂編著.-- ミネルヴァ書房; 1993.4.-- (Basic books).</v>
      </c>
      <c r="E894" s="5" t="str">
        <f>""</f>
        <v/>
      </c>
      <c r="F894" s="26"/>
      <c r="G894" s="27" t="str">
        <f>"336.4/ﾂﾀﾞ"</f>
        <v>336.4/ﾂﾀﾞ</v>
      </c>
      <c r="H894" s="4" t="str">
        <f>"1995/03/31"</f>
        <v>1995/03/31</v>
      </c>
      <c r="I894" s="6">
        <v>2445</v>
      </c>
      <c r="J894" s="6">
        <v>100</v>
      </c>
      <c r="K894" s="4" t="str">
        <f t="shared" si="48"/>
        <v>1  和書</v>
      </c>
      <c r="L894" s="7"/>
    </row>
    <row r="895" spans="1:12" ht="24" x14ac:dyDescent="0.15">
      <c r="A895" s="36">
        <v>894</v>
      </c>
      <c r="B895" s="3" t="s">
        <v>41</v>
      </c>
      <c r="C895" s="4" t="str">
        <f>"0001119336"</f>
        <v>0001119336</v>
      </c>
      <c r="D895" s="5" t="str">
        <f>"雇用制 / 中条毅,菊野一雄編著.-- 中央経済社; 1988.12.-- (日本労務学会経営労働双書 ; . 日本労務管理史||ニホン ロウム カンリシ ; 1)."</f>
        <v>雇用制 / 中条毅,菊野一雄編著.-- 中央経済社; 1988.12.-- (日本労務学会経営労働双書 ; . 日本労務管理史||ニホン ロウム カンリシ ; 1).</v>
      </c>
      <c r="E895" s="5" t="str">
        <f>""</f>
        <v/>
      </c>
      <c r="F895" s="26"/>
      <c r="G895" s="27" t="str">
        <f>"336.4/ﾆﾎ/1"</f>
        <v>336.4/ﾆﾎ/1</v>
      </c>
      <c r="H895" s="4" t="str">
        <f>"1996/03/29"</f>
        <v>1996/03/29</v>
      </c>
      <c r="I895" s="6">
        <v>2270</v>
      </c>
      <c r="J895" s="6">
        <v>100</v>
      </c>
      <c r="K895" s="4" t="str">
        <f t="shared" si="48"/>
        <v>1  和書</v>
      </c>
      <c r="L895" s="7"/>
    </row>
    <row r="896" spans="1:12" ht="24" x14ac:dyDescent="0.15">
      <c r="A896" s="36">
        <v>895</v>
      </c>
      <c r="B896" s="3" t="s">
        <v>41</v>
      </c>
      <c r="C896" s="4" t="str">
        <f>"0000613897"</f>
        <v>0000613897</v>
      </c>
      <c r="D896" s="5" t="str">
        <f>"年功制 / 原田実,奥林康司編著.-- 中央経済社; 1988.12.-- (日本労務学会経営労働双書 ; . 日本労務管理史||ニホン ロウム カンリシ ; 2)."</f>
        <v>年功制 / 原田実,奥林康司編著.-- 中央経済社; 1988.12.-- (日本労務学会経営労働双書 ; . 日本労務管理史||ニホン ロウム カンリシ ; 2).</v>
      </c>
      <c r="E896" s="5" t="str">
        <f>""</f>
        <v/>
      </c>
      <c r="F896" s="26"/>
      <c r="G896" s="27" t="str">
        <f>"336.4/ﾆﾎ/2"</f>
        <v>336.4/ﾆﾎ/2</v>
      </c>
      <c r="H896" s="4" t="str">
        <f>"1995/03/31"</f>
        <v>1995/03/31</v>
      </c>
      <c r="I896" s="6">
        <v>2067</v>
      </c>
      <c r="J896" s="6">
        <v>100</v>
      </c>
      <c r="K896" s="4" t="str">
        <f t="shared" si="48"/>
        <v>1  和書</v>
      </c>
      <c r="L896" s="7"/>
    </row>
    <row r="897" spans="1:12" ht="24" x14ac:dyDescent="0.15">
      <c r="A897" s="36">
        <v>896</v>
      </c>
      <c r="B897" s="3" t="s">
        <v>41</v>
      </c>
      <c r="C897" s="4" t="str">
        <f>"0001114119"</f>
        <v>0001114119</v>
      </c>
      <c r="D897" s="5" t="str">
        <f>"労使関係 / 高橋洸[ほか]編著.-- 中央経済社; 1988.12.-- (日本労務学会経営労働双書 ; . 日本労務管理史||ニホン ロウム カンリシ ; 3)."</f>
        <v>労使関係 / 高橋洸[ほか]編著.-- 中央経済社; 1988.12.-- (日本労務学会経営労働双書 ; . 日本労務管理史||ニホン ロウム カンリシ ; 3).</v>
      </c>
      <c r="E897" s="5" t="str">
        <f>""</f>
        <v/>
      </c>
      <c r="F897" s="26"/>
      <c r="G897" s="27" t="str">
        <f>"336.4/ﾆﾎ/3"</f>
        <v>336.4/ﾆﾎ/3</v>
      </c>
      <c r="H897" s="4" t="str">
        <f>"1996/03/29"</f>
        <v>1996/03/29</v>
      </c>
      <c r="I897" s="6">
        <v>2270</v>
      </c>
      <c r="J897" s="6">
        <v>100</v>
      </c>
      <c r="K897" s="4" t="str">
        <f t="shared" si="48"/>
        <v>1  和書</v>
      </c>
      <c r="L897" s="7"/>
    </row>
    <row r="898" spans="1:12" x14ac:dyDescent="0.15">
      <c r="A898" s="36">
        <v>897</v>
      </c>
      <c r="B898" s="3" t="s">
        <v>41</v>
      </c>
      <c r="C898" s="10" t="str">
        <f>"0002452647"</f>
        <v>0002452647</v>
      </c>
      <c r="D898" s="11" t="str">
        <f>"労務管理の日韓比較 / 佐護譽, 安春植編著.-- 有斐閣; 1993.2."</f>
        <v>労務管理の日韓比較 / 佐護譽, 安春植編著.-- 有斐閣; 1993.2.</v>
      </c>
      <c r="E898" s="11" t="str">
        <f>""</f>
        <v/>
      </c>
      <c r="F898" s="28" t="s">
        <v>8</v>
      </c>
      <c r="G898" s="29" t="str">
        <f>"336.4/ﾛｳ"</f>
        <v>336.4/ﾛｳ</v>
      </c>
      <c r="H898" s="10" t="str">
        <f>"2001/06/07"</f>
        <v>2001/06/07</v>
      </c>
      <c r="I898" s="12">
        <v>2100</v>
      </c>
      <c r="J898" s="12">
        <v>100</v>
      </c>
      <c r="K898" s="10" t="str">
        <f t="shared" si="48"/>
        <v>1  和書</v>
      </c>
      <c r="L898" s="13"/>
    </row>
    <row r="899" spans="1:12" ht="36" x14ac:dyDescent="0.15">
      <c r="A899" s="36">
        <v>898</v>
      </c>
      <c r="B899" s="3" t="s">
        <v>41</v>
      </c>
      <c r="C899" s="4" t="str">
        <f>"0000630474"</f>
        <v>0000630474</v>
      </c>
      <c r="D899" s="5" t="str">
        <f>"精選人事考課規程とつくり方 : 能力開発・育成型考課主義の充実とマニュアルの体系化づくり / 松田憲二編.-- 改訂新版, 第2版第2刷.-- 経営書院; 1991.3(はしがき)."</f>
        <v>精選人事考課規程とつくり方 : 能力開発・育成型考課主義の充実とマニュアルの体系化づくり / 松田憲二編.-- 改訂新版, 第2版第2刷.-- 経営書院; 1991.3(はしがき).</v>
      </c>
      <c r="E899" s="5" t="str">
        <f>""</f>
        <v/>
      </c>
      <c r="F899" s="26"/>
      <c r="G899" s="27" t="str">
        <f>"336.43/ﾏﾂ"</f>
        <v>336.43/ﾏﾂ</v>
      </c>
      <c r="H899" s="4" t="str">
        <f>"1995/03/31"</f>
        <v>1995/03/31</v>
      </c>
      <c r="I899" s="6">
        <v>2779</v>
      </c>
      <c r="J899" s="6">
        <v>100</v>
      </c>
      <c r="K899" s="4" t="str">
        <f t="shared" si="48"/>
        <v>1  和書</v>
      </c>
      <c r="L899" s="7"/>
    </row>
    <row r="900" spans="1:12" ht="24" x14ac:dyDescent="0.15">
      <c r="A900" s="36">
        <v>899</v>
      </c>
      <c r="B900" s="3" t="s">
        <v>41</v>
      </c>
      <c r="C900" s="4" t="str">
        <f>"0002369600"</f>
        <v>0002369600</v>
      </c>
      <c r="D900" s="5" t="str">
        <f>"OLAP : 実践データウェアハウス / 豊島一政, 木村哲共著.-- 日本経営科学研究所; 1997.7.-- (CR選書)."</f>
        <v>OLAP : 実践データウェアハウス / 豊島一政, 木村哲共著.-- 日本経営科学研究所; 1997.7.-- (CR選書).</v>
      </c>
      <c r="E900" s="5" t="str">
        <f>""</f>
        <v/>
      </c>
      <c r="F900" s="26"/>
      <c r="G900" s="27" t="str">
        <f>"336.57/ﾄﾖ"</f>
        <v>336.57/ﾄﾖ</v>
      </c>
      <c r="H900" s="4" t="str">
        <f>"2001/03/30"</f>
        <v>2001/03/30</v>
      </c>
      <c r="I900" s="6">
        <v>2617</v>
      </c>
      <c r="J900" s="6">
        <v>100</v>
      </c>
      <c r="K900" s="4" t="str">
        <f t="shared" si="48"/>
        <v>1  和書</v>
      </c>
      <c r="L900" s="7"/>
    </row>
    <row r="901" spans="1:12" ht="24" x14ac:dyDescent="0.15">
      <c r="A901" s="36">
        <v>900</v>
      </c>
      <c r="B901" s="3" t="s">
        <v>41</v>
      </c>
      <c r="C901" s="4" t="str">
        <f>"0000212274"</f>
        <v>0000212274</v>
      </c>
      <c r="D901" s="5" t="str">
        <f>"簡易照会言語入門 : 関係データベースシステム / 平尾隆行著.-- オーム社; 1983.10.-- (図解コンピュータシリーズ / 江村潤朗監修)."</f>
        <v>簡易照会言語入門 : 関係データベースシステム / 平尾隆行著.-- オーム社; 1983.10.-- (図解コンピュータシリーズ / 江村潤朗監修).</v>
      </c>
      <c r="E901" s="5" t="str">
        <f>""</f>
        <v/>
      </c>
      <c r="F901" s="26"/>
      <c r="G901" s="27" t="str">
        <f>"336.57/ﾋﾗ"</f>
        <v>336.57/ﾋﾗ</v>
      </c>
      <c r="H901" s="4" t="str">
        <f>"1994/03/31"</f>
        <v>1994/03/31</v>
      </c>
      <c r="I901" s="6">
        <v>2389</v>
      </c>
      <c r="J901" s="6">
        <v>100</v>
      </c>
      <c r="K901" s="4" t="str">
        <f t="shared" si="48"/>
        <v>1  和書</v>
      </c>
      <c r="L901" s="7"/>
    </row>
    <row r="902" spans="1:12" x14ac:dyDescent="0.15">
      <c r="A902" s="36">
        <v>901</v>
      </c>
      <c r="B902" s="3" t="s">
        <v>41</v>
      </c>
      <c r="C902" s="4" t="str">
        <f>"0000115674"</f>
        <v>0000115674</v>
      </c>
      <c r="D902" s="5" t="str">
        <f>"図解グループウェア入門 / 松下温編著.-- オーム社; 1991.8."</f>
        <v>図解グループウェア入門 / 松下温編著.-- オーム社; 1991.8.</v>
      </c>
      <c r="E902" s="5" t="str">
        <f>""</f>
        <v/>
      </c>
      <c r="F902" s="26"/>
      <c r="G902" s="27" t="str">
        <f>"336.57/ﾏﾂ"</f>
        <v>336.57/ﾏﾂ</v>
      </c>
      <c r="H902" s="4" t="str">
        <f>"1994/03/31"</f>
        <v>1994/03/31</v>
      </c>
      <c r="I902" s="6">
        <v>2017</v>
      </c>
      <c r="J902" s="6">
        <v>100</v>
      </c>
      <c r="K902" s="4" t="str">
        <f t="shared" si="48"/>
        <v>1  和書</v>
      </c>
      <c r="L902" s="7"/>
    </row>
    <row r="903" spans="1:12" x14ac:dyDescent="0.15">
      <c r="A903" s="36">
        <v>902</v>
      </c>
      <c r="B903" s="3" t="s">
        <v>41</v>
      </c>
      <c r="C903" s="4" t="str">
        <f>"0001115208"</f>
        <v>0001115208</v>
      </c>
      <c r="D903" s="5" t="str">
        <f>"経営財務講義 / 諸井勝之助著.-- 第2版.-- 東京大学出版会; 1989.4."</f>
        <v>経営財務講義 / 諸井勝之助著.-- 第2版.-- 東京大学出版会; 1989.4.</v>
      </c>
      <c r="E903" s="5" t="str">
        <f>""</f>
        <v/>
      </c>
      <c r="F903" s="26"/>
      <c r="G903" s="27" t="str">
        <f>"336.8/ﾓﾛ"</f>
        <v>336.8/ﾓﾛ</v>
      </c>
      <c r="H903" s="4" t="str">
        <f>"1996/03/29"</f>
        <v>1996/03/29</v>
      </c>
      <c r="I903" s="6">
        <v>2756</v>
      </c>
      <c r="J903" s="6">
        <v>100</v>
      </c>
      <c r="K903" s="4" t="str">
        <f t="shared" si="48"/>
        <v>1  和書</v>
      </c>
      <c r="L903" s="7"/>
    </row>
    <row r="904" spans="1:12" ht="36" x14ac:dyDescent="0.15">
      <c r="A904" s="36">
        <v>903</v>
      </c>
      <c r="B904" s="3" t="s">
        <v>41</v>
      </c>
      <c r="C904" s="4" t="str">
        <f>"0001068191"</f>
        <v>0001068191</v>
      </c>
      <c r="D904" s="5" t="str">
        <f>"米国製造業の復活 : 「トップダウン・コントロール」から「ボトムアップ・エンパワメント」へ / H. Thomas Johnson [著] ; 辻厚生, 河田信訳.-- 中央経済社; 1994.3."</f>
        <v>米国製造業の復活 : 「トップダウン・コントロール」から「ボトムアップ・エンパワメント」へ / H. Thomas Johnson [著] ; 辻厚生, 河田信訳.-- 中央経済社; 1994.3.</v>
      </c>
      <c r="E904" s="5" t="str">
        <f>""</f>
        <v/>
      </c>
      <c r="F904" s="26"/>
      <c r="G904" s="27" t="str">
        <f>"336.84/ｼﾞﾖ"</f>
        <v>336.84/ｼﾞﾖ</v>
      </c>
      <c r="H904" s="4" t="str">
        <f>"1996/03/29"</f>
        <v>1996/03/29</v>
      </c>
      <c r="I904" s="6">
        <v>2991</v>
      </c>
      <c r="J904" s="6">
        <v>100</v>
      </c>
      <c r="K904" s="4" t="str">
        <f t="shared" si="48"/>
        <v>1  和書</v>
      </c>
      <c r="L904" s="7"/>
    </row>
    <row r="905" spans="1:12" ht="24" x14ac:dyDescent="0.15">
      <c r="A905" s="36">
        <v>904</v>
      </c>
      <c r="B905" s="3" t="s">
        <v>41</v>
      </c>
      <c r="C905" s="4" t="str">
        <f>"0000658362"</f>
        <v>0000658362</v>
      </c>
      <c r="D905" s="5" t="str">
        <f>"会計学の基礎 / 小川洌, 小澤康人編著 ; 氏原茂樹[ほか]著.-- 増補3訂版.-- 創成社; 1992.3.-- (社会科学基礎シリーズ ; 2)."</f>
        <v>会計学の基礎 / 小川洌, 小澤康人編著 ; 氏原茂樹[ほか]著.-- 増補3訂版.-- 創成社; 1992.3.-- (社会科学基礎シリーズ ; 2).</v>
      </c>
      <c r="E905" s="5" t="str">
        <f>""</f>
        <v/>
      </c>
      <c r="F905" s="26"/>
      <c r="G905" s="27" t="str">
        <f>"336.9/ｵｶﾞ"</f>
        <v>336.9/ｵｶﾞ</v>
      </c>
      <c r="H905" s="4" t="str">
        <f>"1995/03/31"</f>
        <v>1995/03/31</v>
      </c>
      <c r="I905" s="6">
        <v>2123</v>
      </c>
      <c r="J905" s="6">
        <v>100</v>
      </c>
      <c r="K905" s="4" t="str">
        <f t="shared" si="48"/>
        <v>1  和書</v>
      </c>
      <c r="L905" s="7"/>
    </row>
    <row r="906" spans="1:12" ht="24" x14ac:dyDescent="0.15">
      <c r="A906" s="36">
        <v>905</v>
      </c>
      <c r="B906" s="3" t="s">
        <v>41</v>
      </c>
      <c r="C906" s="4" t="str">
        <f>"0000678292"</f>
        <v>0000678292</v>
      </c>
      <c r="D906" s="5" t="str">
        <f>"企業資本と利潤 : 企業理論の財務的接近 / 亀川雅人著.-- 第2版.-- 中央経済社; 1993.3."</f>
        <v>企業資本と利潤 : 企業理論の財務的接近 / 亀川雅人著.-- 第2版.-- 中央経済社; 1993.3.</v>
      </c>
      <c r="E906" s="5" t="str">
        <f>""</f>
        <v/>
      </c>
      <c r="F906" s="26"/>
      <c r="G906" s="27" t="str">
        <f>"336.9/ｶﾒ"</f>
        <v>336.9/ｶﾒ</v>
      </c>
      <c r="H906" s="4" t="str">
        <f>"1995/03/31"</f>
        <v>1995/03/31</v>
      </c>
      <c r="I906" s="6">
        <v>2445</v>
      </c>
      <c r="J906" s="6">
        <v>100</v>
      </c>
      <c r="K906" s="4" t="str">
        <f t="shared" si="48"/>
        <v>1  和書</v>
      </c>
      <c r="L906" s="7"/>
    </row>
    <row r="907" spans="1:12" ht="24" x14ac:dyDescent="0.15">
      <c r="A907" s="36">
        <v>906</v>
      </c>
      <c r="B907" s="3" t="s">
        <v>41</v>
      </c>
      <c r="C907" s="4" t="str">
        <f>"0000608305"</f>
        <v>0000608305</v>
      </c>
      <c r="D907" s="5" t="str">
        <f>"FASB財務会計の諸概念 / [米国財務会計基準審議会原著] ; 平松一夫, 広瀬義州訳.-- 改訳新版.-- 中央経済社; 1994.5."</f>
        <v>FASB財務会計の諸概念 / [米国財務会計基準審議会原著] ; 平松一夫, 広瀬義州訳.-- 改訳新版.-- 中央経済社; 1994.5.</v>
      </c>
      <c r="E907" s="5" t="str">
        <f>""</f>
        <v/>
      </c>
      <c r="F907" s="26"/>
      <c r="G907" s="27" t="str">
        <f>"336.9/ﾋﾗ"</f>
        <v>336.9/ﾋﾗ</v>
      </c>
      <c r="H907" s="4" t="str">
        <f>"1995/03/31"</f>
        <v>1995/03/31</v>
      </c>
      <c r="I907" s="6">
        <v>4554</v>
      </c>
      <c r="J907" s="6">
        <v>100</v>
      </c>
      <c r="K907" s="4" t="str">
        <f t="shared" si="48"/>
        <v>1  和書</v>
      </c>
      <c r="L907" s="7"/>
    </row>
    <row r="908" spans="1:12" ht="24" x14ac:dyDescent="0.15">
      <c r="A908" s="36">
        <v>907</v>
      </c>
      <c r="B908" s="3" t="s">
        <v>41</v>
      </c>
      <c r="C908" s="4" t="str">
        <f>"0002679167"</f>
        <v>0002679167</v>
      </c>
      <c r="D908" s="5" t="str">
        <f>"エンデの警鐘 : 地域通貨の希望と銀行の未来 / 坂本龍一, 河邑厚徳編著.-- 日本放送出版協会; 2002.4."</f>
        <v>エンデの警鐘 : 地域通貨の希望と銀行の未来 / 坂本龍一, 河邑厚徳編著.-- 日本放送出版協会; 2002.4.</v>
      </c>
      <c r="E908" s="5" t="str">
        <f>""</f>
        <v/>
      </c>
      <c r="F908" s="26"/>
      <c r="G908" s="27" t="str">
        <f>"337/ｻｶ"</f>
        <v>337/ｻｶ</v>
      </c>
      <c r="H908" s="4" t="str">
        <f>"2005/01/20"</f>
        <v>2005/01/20</v>
      </c>
      <c r="I908" s="6">
        <v>1512</v>
      </c>
      <c r="J908" s="6">
        <v>100</v>
      </c>
      <c r="K908" s="4" t="str">
        <f t="shared" si="48"/>
        <v>1  和書</v>
      </c>
      <c r="L908" s="7"/>
    </row>
    <row r="909" spans="1:12" ht="24" x14ac:dyDescent="0.15">
      <c r="A909" s="36">
        <v>908</v>
      </c>
      <c r="B909" s="3" t="s">
        <v>41</v>
      </c>
      <c r="C909" s="4" t="str">
        <f>"0000625388"</f>
        <v>0000625388</v>
      </c>
      <c r="D909" s="5" t="str">
        <f>"貨幣と市場経済 / J.R.ヒックス著 ; 花輪俊哉, 小川英治訳.-- 東洋経済新報社; 1993.2."</f>
        <v>貨幣と市場経済 / J.R.ヒックス著 ; 花輪俊哉, 小川英治訳.-- 東洋経済新報社; 1993.2.</v>
      </c>
      <c r="E909" s="5" t="str">
        <f>""</f>
        <v/>
      </c>
      <c r="F909" s="26"/>
      <c r="G909" s="27" t="str">
        <f>"337.1/ﾋﾂ"</f>
        <v>337.1/ﾋﾂ</v>
      </c>
      <c r="H909" s="4" t="str">
        <f>"1995/03/31"</f>
        <v>1995/03/31</v>
      </c>
      <c r="I909" s="6">
        <v>2702</v>
      </c>
      <c r="J909" s="6">
        <v>100</v>
      </c>
      <c r="K909" s="4" t="str">
        <f t="shared" si="48"/>
        <v>1  和書</v>
      </c>
      <c r="L909" s="7"/>
    </row>
    <row r="910" spans="1:12" ht="24" x14ac:dyDescent="0.15">
      <c r="A910" s="36">
        <v>909</v>
      </c>
      <c r="B910" s="3" t="s">
        <v>41</v>
      </c>
      <c r="C910" s="4" t="str">
        <f>"0000707251"</f>
        <v>0000707251</v>
      </c>
      <c r="D910" s="5" t="str">
        <f>"貨幣と市場経済 / J.R.ヒックス著 ; 花輪俊哉, 小川英治訳.-- 東洋経済新報社; 1993.2."</f>
        <v>貨幣と市場経済 / J.R.ヒックス著 ; 花輪俊哉, 小川英治訳.-- 東洋経済新報社; 1993.2.</v>
      </c>
      <c r="E910" s="5" t="str">
        <f>""</f>
        <v/>
      </c>
      <c r="F910" s="26"/>
      <c r="G910" s="27" t="str">
        <f>"337.1/ﾋﾂ"</f>
        <v>337.1/ﾋﾂ</v>
      </c>
      <c r="H910" s="4" t="str">
        <f>"1995/03/31"</f>
        <v>1995/03/31</v>
      </c>
      <c r="I910" s="6">
        <v>2853</v>
      </c>
      <c r="J910" s="6">
        <v>100</v>
      </c>
      <c r="K910" s="4" t="str">
        <f t="shared" si="48"/>
        <v>1  和書</v>
      </c>
      <c r="L910" s="7"/>
    </row>
    <row r="911" spans="1:12" ht="24" x14ac:dyDescent="0.15">
      <c r="A911" s="36">
        <v>910</v>
      </c>
      <c r="B911" s="3" t="s">
        <v>41</v>
      </c>
      <c r="C911" s="4" t="str">
        <f>"0003128466"</f>
        <v>0003128466</v>
      </c>
      <c r="D911" s="5" t="str">
        <f>"世界紙幣図鑑 / 植村峻, カレンシー・リサーチ編著.-- 日本専門図書出版; 1999.4."</f>
        <v>世界紙幣図鑑 / 植村峻, カレンシー・リサーチ編著.-- 日本専門図書出版; 1999.4.</v>
      </c>
      <c r="E911" s="5" t="str">
        <f>""</f>
        <v/>
      </c>
      <c r="F911" s="26"/>
      <c r="G911" s="27" t="str">
        <f>"R337.2/ｳｴ"</f>
        <v>R337.2/ｳｴ</v>
      </c>
      <c r="H911" s="4" t="str">
        <f>"2011/09/06"</f>
        <v>2011/09/06</v>
      </c>
      <c r="I911" s="6">
        <v>23850</v>
      </c>
      <c r="J911" s="8">
        <v>1000</v>
      </c>
      <c r="K911" s="4" t="str">
        <f t="shared" si="48"/>
        <v>1  和書</v>
      </c>
      <c r="L911" s="7"/>
    </row>
    <row r="912" spans="1:12" ht="24" x14ac:dyDescent="0.15">
      <c r="A912" s="36">
        <v>911</v>
      </c>
      <c r="B912" s="3" t="s">
        <v>41</v>
      </c>
      <c r="C912" s="4" t="str">
        <f>"0001144239"</f>
        <v>0001144239</v>
      </c>
      <c r="D912" s="5" t="str">
        <f>"近代中国通貨統一史 : 十五年戦争期における通貨闘争 / 岩武照彦著 ; 上, 下.-- みすず書房; 1990.10."</f>
        <v>近代中国通貨統一史 : 十五年戦争期における通貨闘争 / 岩武照彦著 ; 上, 下.-- みすず書房; 1990.10.</v>
      </c>
      <c r="E912" s="5" t="str">
        <f>"上"</f>
        <v>上</v>
      </c>
      <c r="F912" s="26"/>
      <c r="G912" s="27" t="str">
        <f>"337.22/ｲﾜ/1"</f>
        <v>337.22/ｲﾜ/1</v>
      </c>
      <c r="H912" s="4" t="str">
        <f>"1996/03/29"</f>
        <v>1996/03/29</v>
      </c>
      <c r="I912" s="6">
        <v>4017</v>
      </c>
      <c r="J912" s="6">
        <v>100</v>
      </c>
      <c r="K912" s="4" t="str">
        <f t="shared" si="48"/>
        <v>1  和書</v>
      </c>
      <c r="L912" s="7"/>
    </row>
    <row r="913" spans="1:12" ht="24" x14ac:dyDescent="0.15">
      <c r="A913" s="36">
        <v>912</v>
      </c>
      <c r="B913" s="3" t="s">
        <v>41</v>
      </c>
      <c r="C913" s="4" t="str">
        <f>"0001144246"</f>
        <v>0001144246</v>
      </c>
      <c r="D913" s="5" t="str">
        <f>"近代中国通貨統一史 : 十五年戦争期における通貨闘争 / 岩武照彦著 ; 上, 下.-- みすず書房; 1990.10."</f>
        <v>近代中国通貨統一史 : 十五年戦争期における通貨闘争 / 岩武照彦著 ; 上, 下.-- みすず書房; 1990.10.</v>
      </c>
      <c r="E913" s="5" t="str">
        <f>"下"</f>
        <v>下</v>
      </c>
      <c r="F913" s="26"/>
      <c r="G913" s="27" t="str">
        <f>"337.22/ｲﾜ/2"</f>
        <v>337.22/ｲﾜ/2</v>
      </c>
      <c r="H913" s="4" t="str">
        <f>"1996/03/29"</f>
        <v>1996/03/29</v>
      </c>
      <c r="I913" s="6">
        <v>4017</v>
      </c>
      <c r="J913" s="6">
        <v>100</v>
      </c>
      <c r="K913" s="4" t="str">
        <f t="shared" si="48"/>
        <v>1  和書</v>
      </c>
      <c r="L913" s="7"/>
    </row>
    <row r="914" spans="1:12" ht="24" x14ac:dyDescent="0.15">
      <c r="A914" s="36">
        <v>913</v>
      </c>
      <c r="B914" s="3" t="s">
        <v>41</v>
      </c>
      <c r="C914" s="4" t="str">
        <f>"0000809429"</f>
        <v>0000809429</v>
      </c>
      <c r="D914" s="5" t="str">
        <f>"Money, inflation and unemployment / David Gowland ; : pbk.-- 2nd ed.-- Harvester Wheatsheaf; 1991."</f>
        <v>Money, inflation and unemployment / David Gowland ; : pbk.-- 2nd ed.-- Harvester Wheatsheaf; 1991.</v>
      </c>
      <c r="E914" s="5" t="str">
        <f>": pbk"</f>
        <v>: pbk</v>
      </c>
      <c r="F914" s="26"/>
      <c r="G914" s="27" t="str">
        <f>"337.9/GO"</f>
        <v>337.9/GO</v>
      </c>
      <c r="H914" s="4" t="str">
        <f>"1995/03/31"</f>
        <v>1995/03/31</v>
      </c>
      <c r="I914" s="6">
        <v>4355</v>
      </c>
      <c r="J914" s="6">
        <v>100</v>
      </c>
      <c r="K914" s="4" t="str">
        <f>"2  洋書"</f>
        <v>2  洋書</v>
      </c>
      <c r="L914" s="7"/>
    </row>
    <row r="915" spans="1:12" ht="24" x14ac:dyDescent="0.15">
      <c r="A915" s="36">
        <v>914</v>
      </c>
      <c r="B915" s="3" t="s">
        <v>41</v>
      </c>
      <c r="C915" s="4" t="str">
        <f>"0002641409"</f>
        <v>0002641409</v>
      </c>
      <c r="D915" s="5" t="str">
        <f>"金融機能と規制の経済学 / 岩本康志 [ほか] 著.-- 東洋経済新報社; 2001.10."</f>
        <v>金融機能と規制の経済学 / 岩本康志 [ほか] 著.-- 東洋経済新報社; 2001.10.</v>
      </c>
      <c r="E915" s="5" t="str">
        <f>""</f>
        <v/>
      </c>
      <c r="F915" s="26"/>
      <c r="G915" s="27" t="str">
        <f>"338/ｲﾜ"</f>
        <v>338/ｲﾜ</v>
      </c>
      <c r="H915" s="4" t="str">
        <f>"2003/10/02"</f>
        <v>2003/10/02</v>
      </c>
      <c r="I915" s="6">
        <v>2079</v>
      </c>
      <c r="J915" s="6">
        <v>100</v>
      </c>
      <c r="K915" s="4" t="str">
        <f t="shared" si="48"/>
        <v>1  和書</v>
      </c>
      <c r="L915" s="7"/>
    </row>
    <row r="916" spans="1:12" ht="24" x14ac:dyDescent="0.15">
      <c r="A916" s="36">
        <v>915</v>
      </c>
      <c r="B916" s="3" t="s">
        <v>41</v>
      </c>
      <c r="C916" s="4" t="str">
        <f>"0002928739"</f>
        <v>0002928739</v>
      </c>
      <c r="D916" s="5" t="str">
        <f>"電子マネー・電子商取引と金融政策 / 日本銀行金融研究所編.-- 東京大学出版会; 2002.7."</f>
        <v>電子マネー・電子商取引と金融政策 / 日本銀行金融研究所編.-- 東京大学出版会; 2002.7.</v>
      </c>
      <c r="E916" s="5" t="str">
        <f>""</f>
        <v/>
      </c>
      <c r="F916" s="26"/>
      <c r="G916" s="27" t="str">
        <f>"338/ﾆﾎ"</f>
        <v>338/ﾆﾎ</v>
      </c>
      <c r="H916" s="4" t="str">
        <f>"2008/03/31"</f>
        <v>2008/03/31</v>
      </c>
      <c r="I916" s="6">
        <v>2646</v>
      </c>
      <c r="J916" s="6">
        <v>100</v>
      </c>
      <c r="K916" s="4" t="str">
        <f t="shared" si="48"/>
        <v>1  和書</v>
      </c>
      <c r="L916" s="7"/>
    </row>
    <row r="917" spans="1:12" ht="24" x14ac:dyDescent="0.15">
      <c r="A917" s="36">
        <v>916</v>
      </c>
      <c r="B917" s="3" t="s">
        <v>41</v>
      </c>
      <c r="C917" s="4" t="str">
        <f>"0002919553"</f>
        <v>0002919553</v>
      </c>
      <c r="D917" s="5" t="str">
        <f>"貨幣と市場経済 / J.R.ヒックス著 ; 花輪俊哉, 小川英治訳.-- 東洋経済新報社; 1993.2."</f>
        <v>貨幣と市場経済 / J.R.ヒックス著 ; 花輪俊哉, 小川英治訳.-- 東洋経済新報社; 1993.2.</v>
      </c>
      <c r="E917" s="5" t="str">
        <f>""</f>
        <v/>
      </c>
      <c r="F917" s="26"/>
      <c r="G917" s="27" t="str">
        <f>"338.1/ﾋﾂ"</f>
        <v>338.1/ﾋﾂ</v>
      </c>
      <c r="H917" s="4" t="str">
        <f>"2007/10/03"</f>
        <v>2007/10/03</v>
      </c>
      <c r="I917" s="6">
        <v>3213</v>
      </c>
      <c r="J917" s="6">
        <v>100</v>
      </c>
      <c r="K917" s="4" t="str">
        <f t="shared" si="48"/>
        <v>1  和書</v>
      </c>
      <c r="L917" s="7"/>
    </row>
    <row r="918" spans="1:12" ht="24" x14ac:dyDescent="0.15">
      <c r="A918" s="36">
        <v>917</v>
      </c>
      <c r="B918" s="3" t="s">
        <v>41</v>
      </c>
      <c r="C918" s="4" t="str">
        <f>"0000715348"</f>
        <v>0000715348</v>
      </c>
      <c r="D918" s="5" t="str">
        <f>"ウォール街のランダム・ウォーク : 株式投資の不滅の真理 / バートン・マルキール著 ; 井手正介訳.-- 日本経済新聞社; 1993.6."</f>
        <v>ウォール街のランダム・ウォーク : 株式投資の不滅の真理 / バートン・マルキール著 ; 井手正介訳.-- 日本経済新聞社; 1993.6.</v>
      </c>
      <c r="E918" s="5" t="str">
        <f>""</f>
        <v/>
      </c>
      <c r="F918" s="26"/>
      <c r="G918" s="27" t="str">
        <f>"338.15/ﾏﾙ"</f>
        <v>338.15/ﾏﾙ</v>
      </c>
      <c r="H918" s="4" t="str">
        <f>"1995/03/31"</f>
        <v>1995/03/31</v>
      </c>
      <c r="I918" s="6">
        <v>2282</v>
      </c>
      <c r="J918" s="6">
        <v>100</v>
      </c>
      <c r="K918" s="4" t="str">
        <f t="shared" si="48"/>
        <v>1  和書</v>
      </c>
      <c r="L918" s="7"/>
    </row>
    <row r="919" spans="1:12" x14ac:dyDescent="0.15">
      <c r="A919" s="36">
        <v>918</v>
      </c>
      <c r="B919" s="3" t="s">
        <v>41</v>
      </c>
      <c r="C919" s="4" t="str">
        <f>"0000725446"</f>
        <v>0000725446</v>
      </c>
      <c r="D919" s="5" t="str">
        <f>"証券取引法 / 堀口亘編著.-- 改訂版.-- 学陽書房; 1994.1."</f>
        <v>証券取引法 / 堀口亘編著.-- 改訂版.-- 学陽書房; 1994.1.</v>
      </c>
      <c r="E919" s="5" t="str">
        <f>""</f>
        <v/>
      </c>
      <c r="F919" s="26"/>
      <c r="G919" s="27" t="str">
        <f>"338.16/ﾎﾘ"</f>
        <v>338.16/ﾎﾘ</v>
      </c>
      <c r="H919" s="4" t="str">
        <f>"1995/03/31"</f>
        <v>1995/03/31</v>
      </c>
      <c r="I919" s="6">
        <v>2363</v>
      </c>
      <c r="J919" s="6">
        <v>100</v>
      </c>
      <c r="K919" s="4" t="str">
        <f t="shared" si="48"/>
        <v>1  和書</v>
      </c>
      <c r="L919" s="7"/>
    </row>
    <row r="920" spans="1:12" ht="24" x14ac:dyDescent="0.15">
      <c r="A920" s="36">
        <v>919</v>
      </c>
      <c r="B920" s="3" t="s">
        <v>41</v>
      </c>
      <c r="C920" s="4" t="str">
        <f>"0002945118"</f>
        <v>0002945118</v>
      </c>
      <c r="D920" s="5" t="str">
        <f>"ゼミナール現代金融入門 / 斎藤精一郎著.-- 4版.-- 日本経済新聞社; 2003.1."</f>
        <v>ゼミナール現代金融入門 / 斎藤精一郎著.-- 4版.-- 日本経済新聞社; 2003.1.</v>
      </c>
      <c r="E920" s="5" t="str">
        <f>""</f>
        <v/>
      </c>
      <c r="F920" s="26"/>
      <c r="G920" s="27" t="str">
        <f>"338.2/ｻｲ"</f>
        <v>338.2/ｻｲ</v>
      </c>
      <c r="H920" s="4" t="str">
        <f>"2009/07/22"</f>
        <v>2009/07/22</v>
      </c>
      <c r="I920" s="6">
        <v>3024</v>
      </c>
      <c r="J920" s="6">
        <v>100</v>
      </c>
      <c r="K920" s="4" t="str">
        <f t="shared" si="48"/>
        <v>1  和書</v>
      </c>
      <c r="L920" s="7"/>
    </row>
    <row r="921" spans="1:12" ht="24" x14ac:dyDescent="0.15">
      <c r="A921" s="36">
        <v>920</v>
      </c>
      <c r="B921" s="3" t="s">
        <v>41</v>
      </c>
      <c r="C921" s="4" t="str">
        <f>"0002104416"</f>
        <v>0002104416</v>
      </c>
      <c r="D921" s="5" t="str">
        <f>"情報開示と日本の金融システム : 市場規律・監督体制の再構築 / 翁百合著.-- 東洋経済新報社; 1998.4."</f>
        <v>情報開示と日本の金融システム : 市場規律・監督体制の再構築 / 翁百合著.-- 東洋経済新報社; 1998.4.</v>
      </c>
      <c r="E921" s="5" t="str">
        <f>""</f>
        <v/>
      </c>
      <c r="F921" s="26"/>
      <c r="G921" s="27" t="str">
        <f>"338.21/ｵｷ"</f>
        <v>338.21/ｵｷ</v>
      </c>
      <c r="H921" s="4" t="str">
        <f>"1999/05/27"</f>
        <v>1999/05/27</v>
      </c>
      <c r="I921" s="6">
        <v>3024</v>
      </c>
      <c r="J921" s="6">
        <v>100</v>
      </c>
      <c r="K921" s="4" t="str">
        <f t="shared" si="48"/>
        <v>1  和書</v>
      </c>
      <c r="L921" s="7"/>
    </row>
    <row r="922" spans="1:12" ht="24" x14ac:dyDescent="0.15">
      <c r="A922" s="36">
        <v>921</v>
      </c>
      <c r="B922" s="3" t="s">
        <v>41</v>
      </c>
      <c r="C922" s="4" t="str">
        <f>"0002919218"</f>
        <v>0002919218</v>
      </c>
      <c r="D922" s="5" t="str">
        <f>"図説わが国の銀行 / 全国銀行協会連合会調査部編 ; 1988年版 - 9訂版 2013年版.-- 財経詳報社; 1988.11-."</f>
        <v>図説わが国の銀行 / 全国銀行協会連合会調査部編 ; 1988年版 - 9訂版 2013年版.-- 財経詳報社; 1988.11-.</v>
      </c>
      <c r="E922" s="5" t="str">
        <f>"改訂版 2007年版"</f>
        <v>改訂版 2007年版</v>
      </c>
      <c r="F922" s="26"/>
      <c r="G922" s="27" t="str">
        <f>"338.21/ｾﾞﾝ/07"</f>
        <v>338.21/ｾﾞﾝ/07</v>
      </c>
      <c r="H922" s="4" t="str">
        <f>"2007/09/19"</f>
        <v>2007/09/19</v>
      </c>
      <c r="I922" s="6">
        <v>2079</v>
      </c>
      <c r="J922" s="6">
        <v>100</v>
      </c>
      <c r="K922" s="4" t="str">
        <f t="shared" si="48"/>
        <v>1  和書</v>
      </c>
      <c r="L922" s="7"/>
    </row>
    <row r="923" spans="1:12" x14ac:dyDescent="0.15">
      <c r="A923" s="36">
        <v>922</v>
      </c>
      <c r="B923" s="3" t="s">
        <v>41</v>
      </c>
      <c r="C923" s="4" t="str">
        <f>"0002124759"</f>
        <v>0002124759</v>
      </c>
      <c r="D923" s="5" t="str">
        <f>"日本開発銀行二十五年史.-- 日本開発銀行; 1976.4."</f>
        <v>日本開発銀行二十五年史.-- 日本開発銀行; 1976.4.</v>
      </c>
      <c r="E923" s="5" t="str">
        <f>""</f>
        <v/>
      </c>
      <c r="F923" s="26"/>
      <c r="G923" s="27" t="str">
        <f>"338.21/ﾆﾎ"</f>
        <v>338.21/ﾆﾎ</v>
      </c>
      <c r="H923" s="4" t="str">
        <f>"1999/12/14"</f>
        <v>1999/12/14</v>
      </c>
      <c r="I923" s="6">
        <v>4500</v>
      </c>
      <c r="J923" s="6">
        <v>100</v>
      </c>
      <c r="K923" s="4" t="str">
        <f t="shared" ref="K923:K986" si="49">"1  和書"</f>
        <v>1  和書</v>
      </c>
      <c r="L923" s="7"/>
    </row>
    <row r="924" spans="1:12" x14ac:dyDescent="0.15">
      <c r="A924" s="36">
        <v>923</v>
      </c>
      <c r="B924" s="3" t="s">
        <v>41</v>
      </c>
      <c r="C924" s="4" t="str">
        <f>"0002108599"</f>
        <v>0002108599</v>
      </c>
      <c r="D924" s="5" t="str">
        <f>"日本経済と金融危機 / 堀内昭義著.-- 岩波書店; 1999.2."</f>
        <v>日本経済と金融危機 / 堀内昭義著.-- 岩波書店; 1999.2.</v>
      </c>
      <c r="E924" s="5" t="str">
        <f>""</f>
        <v/>
      </c>
      <c r="F924" s="26"/>
      <c r="G924" s="27" t="str">
        <f>"338.21/ﾎﾘ"</f>
        <v>338.21/ﾎﾘ</v>
      </c>
      <c r="H924" s="4" t="str">
        <f>"1999/06/18"</f>
        <v>1999/06/18</v>
      </c>
      <c r="I924" s="6">
        <v>1512</v>
      </c>
      <c r="J924" s="6">
        <v>100</v>
      </c>
      <c r="K924" s="4" t="str">
        <f t="shared" si="49"/>
        <v>1  和書</v>
      </c>
      <c r="L924" s="7"/>
    </row>
    <row r="925" spans="1:12" x14ac:dyDescent="0.15">
      <c r="A925" s="36">
        <v>924</v>
      </c>
      <c r="B925" s="3" t="s">
        <v>41</v>
      </c>
      <c r="C925" s="4" t="str">
        <f>"0002486079"</f>
        <v>0002486079</v>
      </c>
      <c r="D925" s="5" t="str">
        <f>"中国の金融改革 / 樊勇明,岡正生著.-- 東洋経済新報社; 1998.12."</f>
        <v>中国の金融改革 / 樊勇明,岡正生著.-- 東洋経済新報社; 1998.12.</v>
      </c>
      <c r="E925" s="5" t="str">
        <f>""</f>
        <v/>
      </c>
      <c r="F925" s="26"/>
      <c r="G925" s="27" t="str">
        <f>"338.22/ﾊﾝ"</f>
        <v>338.22/ﾊﾝ</v>
      </c>
      <c r="H925" s="4" t="str">
        <f>"2002/04/23"</f>
        <v>2002/04/23</v>
      </c>
      <c r="I925" s="6">
        <v>2457</v>
      </c>
      <c r="J925" s="6">
        <v>100</v>
      </c>
      <c r="K925" s="4" t="str">
        <f t="shared" si="49"/>
        <v>1  和書</v>
      </c>
      <c r="L925" s="7"/>
    </row>
    <row r="926" spans="1:12" ht="24" x14ac:dyDescent="0.15">
      <c r="A926" s="36">
        <v>925</v>
      </c>
      <c r="B926" s="3" t="s">
        <v>41</v>
      </c>
      <c r="C926" s="4" t="str">
        <f>"0002129051"</f>
        <v>0002129051</v>
      </c>
      <c r="D926" s="5" t="str">
        <f>"金融政策 : 中央銀行の視点と選択 / 翁邦雄著.-- 東洋経済新報社; 1993.11."</f>
        <v>金融政策 : 中央銀行の視点と選択 / 翁邦雄著.-- 東洋経済新報社; 1993.11.</v>
      </c>
      <c r="E926" s="5" t="str">
        <f>""</f>
        <v/>
      </c>
      <c r="F926" s="26"/>
      <c r="G926" s="27" t="str">
        <f>"338.3/ｵｷ"</f>
        <v>338.3/ｵｷ</v>
      </c>
      <c r="H926" s="4" t="str">
        <f>"2000/01/24"</f>
        <v>2000/01/24</v>
      </c>
      <c r="I926" s="6">
        <v>1701</v>
      </c>
      <c r="J926" s="6">
        <v>100</v>
      </c>
      <c r="K926" s="4" t="str">
        <f t="shared" si="49"/>
        <v>1  和書</v>
      </c>
      <c r="L926" s="7"/>
    </row>
    <row r="927" spans="1:12" ht="24" x14ac:dyDescent="0.15">
      <c r="A927" s="36">
        <v>926</v>
      </c>
      <c r="B927" s="3" t="s">
        <v>41</v>
      </c>
      <c r="C927" s="4" t="str">
        <f>"0002131061"</f>
        <v>0002131061</v>
      </c>
      <c r="D927" s="5" t="str">
        <f>"地方銀行金融ビッグバンにどう挑むか : リテール金融革新の課題と展望 / 杉村正裕著.-- 近代セールス社; 1998.5."</f>
        <v>地方銀行金融ビッグバンにどう挑むか : リテール金融革新の課題と展望 / 杉村正裕著.-- 近代セールス社; 1998.5.</v>
      </c>
      <c r="E927" s="5" t="str">
        <f>""</f>
        <v/>
      </c>
      <c r="F927" s="26"/>
      <c r="G927" s="27" t="str">
        <f>"338.61/ｽｷﾞ"</f>
        <v>338.61/ｽｷﾞ</v>
      </c>
      <c r="H927" s="4" t="str">
        <f>"2000/01/26"</f>
        <v>2000/01/26</v>
      </c>
      <c r="I927" s="6">
        <v>3024</v>
      </c>
      <c r="J927" s="6">
        <v>100</v>
      </c>
      <c r="K927" s="4" t="str">
        <f t="shared" si="49"/>
        <v>1  和書</v>
      </c>
      <c r="L927" s="7"/>
    </row>
    <row r="928" spans="1:12" ht="24" x14ac:dyDescent="0.15">
      <c r="A928" s="36">
        <v>927</v>
      </c>
      <c r="B928" s="3" t="s">
        <v>41</v>
      </c>
      <c r="C928" s="4" t="str">
        <f>"0002671451"</f>
        <v>0002671451</v>
      </c>
      <c r="D928" s="5" t="str">
        <f>"図説国際金融 / 有吉章編 ; 2003年版.-- 改訂12版.-- 財経詳報社; 2003.7."</f>
        <v>図説国際金融 / 有吉章編 ; 2003年版.-- 改訂12版.-- 財経詳報社; 2003.7.</v>
      </c>
      <c r="E928" s="5" t="str">
        <f>"2003年版"</f>
        <v>2003年版</v>
      </c>
      <c r="F928" s="26"/>
      <c r="G928" s="27" t="str">
        <f>"338.9/ｽﾞｾ/03"</f>
        <v>338.9/ｽﾞｾ/03</v>
      </c>
      <c r="H928" s="4" t="str">
        <f>"2004/10/04"</f>
        <v>2004/10/04</v>
      </c>
      <c r="I928" s="6">
        <v>2173</v>
      </c>
      <c r="J928" s="6">
        <v>100</v>
      </c>
      <c r="K928" s="4" t="str">
        <f t="shared" si="49"/>
        <v>1  和書</v>
      </c>
      <c r="L928" s="7"/>
    </row>
    <row r="929" spans="1:12" ht="24" x14ac:dyDescent="0.15">
      <c r="A929" s="36">
        <v>928</v>
      </c>
      <c r="B929" s="3" t="s">
        <v>41</v>
      </c>
      <c r="C929" s="4" t="str">
        <f>"0002129099"</f>
        <v>0002129099</v>
      </c>
      <c r="D929" s="5" t="str">
        <f>"富の興亡 : 円とドルの歴史 / ポール・ボルカー, 行天豊雄[著] ; 江澤雄一監訳.-- 東洋経済新報社; 1992.12."</f>
        <v>富の興亡 : 円とドルの歴史 / ポール・ボルカー, 行天豊雄[著] ; 江澤雄一監訳.-- 東洋経済新報社; 1992.12.</v>
      </c>
      <c r="E929" s="5" t="str">
        <f>""</f>
        <v/>
      </c>
      <c r="F929" s="26"/>
      <c r="G929" s="27" t="str">
        <f>"338.9/ﾎﾞﾙ"</f>
        <v>338.9/ﾎﾞﾙ</v>
      </c>
      <c r="H929" s="4" t="str">
        <f>"2000/01/24"</f>
        <v>2000/01/24</v>
      </c>
      <c r="I929" s="6">
        <v>2109</v>
      </c>
      <c r="J929" s="6">
        <v>100</v>
      </c>
      <c r="K929" s="4" t="str">
        <f t="shared" si="49"/>
        <v>1  和書</v>
      </c>
      <c r="L929" s="7"/>
    </row>
    <row r="930" spans="1:12" ht="24" x14ac:dyDescent="0.15">
      <c r="A930" s="36">
        <v>929</v>
      </c>
      <c r="B930" s="3" t="s">
        <v>41</v>
      </c>
      <c r="C930" s="4" t="str">
        <f>"0002108568"</f>
        <v>0002108568</v>
      </c>
      <c r="D930" s="5" t="str">
        <f>"外国為替入門 / 古海建一著.-- 改訂2版.-- 日本経済新聞社; 1995.1.-- (ビジネス・ゼミナール)."</f>
        <v>外国為替入門 / 古海建一著.-- 改訂2版.-- 日本経済新聞社; 1995.1.-- (ビジネス・ゼミナール).</v>
      </c>
      <c r="E930" s="5" t="str">
        <f>""</f>
        <v/>
      </c>
      <c r="F930" s="26"/>
      <c r="G930" s="27" t="str">
        <f>"338.95/ﾌﾙ"</f>
        <v>338.95/ﾌﾙ</v>
      </c>
      <c r="H930" s="4" t="str">
        <f>"1999/06/22"</f>
        <v>1999/06/22</v>
      </c>
      <c r="I930" s="6">
        <v>2785</v>
      </c>
      <c r="J930" s="6">
        <v>100</v>
      </c>
      <c r="K930" s="4" t="str">
        <f t="shared" si="49"/>
        <v>1  和書</v>
      </c>
      <c r="L930" s="7"/>
    </row>
    <row r="931" spans="1:12" x14ac:dyDescent="0.15">
      <c r="A931" s="36">
        <v>930</v>
      </c>
      <c r="B931" s="3" t="s">
        <v>42</v>
      </c>
      <c r="C931" s="4" t="str">
        <f>"0000702706"</f>
        <v>0000702706</v>
      </c>
      <c r="D931" s="5" t="str">
        <f>"現代日本の政府間財政関係 / 今井勝人著.-- 東京大学出版会; 1993.6."</f>
        <v>現代日本の政府間財政関係 / 今井勝人著.-- 東京大学出版会; 1993.6.</v>
      </c>
      <c r="E931" s="5" t="str">
        <f>""</f>
        <v/>
      </c>
      <c r="F931" s="26"/>
      <c r="G931" s="27" t="str">
        <f>"342.1/ｲﾏ"</f>
        <v>342.1/ｲﾏ</v>
      </c>
      <c r="H931" s="4" t="str">
        <f>"1995/03/31"</f>
        <v>1995/03/31</v>
      </c>
      <c r="I931" s="6">
        <v>3190</v>
      </c>
      <c r="J931" s="6">
        <v>100</v>
      </c>
      <c r="K931" s="4" t="str">
        <f t="shared" si="49"/>
        <v>1  和書</v>
      </c>
      <c r="L931" s="7"/>
    </row>
    <row r="932" spans="1:12" x14ac:dyDescent="0.15">
      <c r="A932" s="36">
        <v>931</v>
      </c>
      <c r="B932" s="3" t="s">
        <v>42</v>
      </c>
      <c r="C932" s="4" t="str">
        <f>"0000705592"</f>
        <v>0000705592</v>
      </c>
      <c r="D932" s="5" t="str">
        <f>"中世イギリス財政史研究 / 城戸毅著.-- 東京大学出版会; 1994.12."</f>
        <v>中世イギリス財政史研究 / 城戸毅著.-- 東京大学出版会; 1994.12.</v>
      </c>
      <c r="E932" s="5" t="str">
        <f>""</f>
        <v/>
      </c>
      <c r="F932" s="26"/>
      <c r="G932" s="27" t="str">
        <f>"342.33/ｷﾄﾞ"</f>
        <v>342.33/ｷﾄﾞ</v>
      </c>
      <c r="H932" s="4" t="str">
        <f>"1995/03/31"</f>
        <v>1995/03/31</v>
      </c>
      <c r="I932" s="6">
        <v>6296</v>
      </c>
      <c r="J932" s="6">
        <v>100</v>
      </c>
      <c r="K932" s="4" t="str">
        <f t="shared" si="49"/>
        <v>1  和書</v>
      </c>
      <c r="L932" s="7"/>
    </row>
    <row r="933" spans="1:12" ht="24" x14ac:dyDescent="0.15">
      <c r="A933" s="36">
        <v>932</v>
      </c>
      <c r="B933" s="3" t="s">
        <v>42</v>
      </c>
      <c r="C933" s="4" t="str">
        <f>"0002092942"</f>
        <v>0002092942</v>
      </c>
      <c r="D933" s="5" t="str">
        <f>"社会的共通資本 / 宇沢弘文著.-- 岩波書店; 2000.11.-- (岩波新書 ; 新赤版 696)."</f>
        <v>社会的共通資本 / 宇沢弘文著.-- 岩波書店; 2000.11.-- (岩波新書 ; 新赤版 696).</v>
      </c>
      <c r="E933" s="5" t="str">
        <f>""</f>
        <v/>
      </c>
      <c r="F933" s="26"/>
      <c r="G933" s="27" t="str">
        <f>"343.7/ｳｻﾞ"</f>
        <v>343.7/ｳｻﾞ</v>
      </c>
      <c r="H933" s="4" t="str">
        <f>"2000/11/24"</f>
        <v>2000/11/24</v>
      </c>
      <c r="I933" s="6">
        <v>609</v>
      </c>
      <c r="J933" s="6">
        <v>100</v>
      </c>
      <c r="K933" s="4" t="str">
        <f t="shared" si="49"/>
        <v>1  和書</v>
      </c>
      <c r="L933" s="7"/>
    </row>
    <row r="934" spans="1:12" ht="36" x14ac:dyDescent="0.15">
      <c r="A934" s="36">
        <v>933</v>
      </c>
      <c r="B934" s="3" t="s">
        <v>42</v>
      </c>
      <c r="C934" s="4" t="str">
        <f>"0002461052"</f>
        <v>0002461052</v>
      </c>
      <c r="D934" s="5" t="str">
        <f>"社会的共通資本 : コモンズと都市 / 宇沢弘文, 茂木愛一郎編.-- 東京大学出版会; 1994.5.-- (Economic affairs / 日本開発銀行設備投資研究所 [企画] ; 4)."</f>
        <v>社会的共通資本 : コモンズと都市 / 宇沢弘文, 茂木愛一郎編.-- 東京大学出版会; 1994.5.-- (Economic affairs / 日本開発銀行設備投資研究所 [企画] ; 4).</v>
      </c>
      <c r="E934" s="5" t="str">
        <f>""</f>
        <v/>
      </c>
      <c r="F934" s="26"/>
      <c r="G934" s="27" t="str">
        <f>"343.7/ｳｻﾞ"</f>
        <v>343.7/ｳｻﾞ</v>
      </c>
      <c r="H934" s="4" t="str">
        <f>"2001/09/04"</f>
        <v>2001/09/04</v>
      </c>
      <c r="I934" s="6">
        <v>3780</v>
      </c>
      <c r="J934" s="6">
        <v>100</v>
      </c>
      <c r="K934" s="4" t="str">
        <f t="shared" si="49"/>
        <v>1  和書</v>
      </c>
      <c r="L934" s="7"/>
    </row>
    <row r="935" spans="1:12" x14ac:dyDescent="0.15">
      <c r="A935" s="36">
        <v>934</v>
      </c>
      <c r="B935" s="3" t="s">
        <v>42</v>
      </c>
      <c r="C935" s="4" t="str">
        <f>"0000710503"</f>
        <v>0000710503</v>
      </c>
      <c r="D935" s="5" t="str">
        <f>"租税法 / 水野勝著.-- 有斐閣; 1993.10."</f>
        <v>租税法 / 水野勝著.-- 有斐閣; 1993.10.</v>
      </c>
      <c r="E935" s="5" t="str">
        <f>""</f>
        <v/>
      </c>
      <c r="F935" s="26"/>
      <c r="G935" s="27" t="str">
        <f>"345.1/ﾐｽﾞ"</f>
        <v>345.1/ﾐｽﾞ</v>
      </c>
      <c r="H935" s="4" t="str">
        <f>"1995/03/31"</f>
        <v>1995/03/31</v>
      </c>
      <c r="I935" s="6">
        <v>3358</v>
      </c>
      <c r="J935" s="6">
        <v>100</v>
      </c>
      <c r="K935" s="4" t="str">
        <f t="shared" si="49"/>
        <v>1  和書</v>
      </c>
      <c r="L935" s="7"/>
    </row>
    <row r="936" spans="1:12" x14ac:dyDescent="0.15">
      <c r="A936" s="36">
        <v>935</v>
      </c>
      <c r="B936" s="3" t="s">
        <v>42</v>
      </c>
      <c r="C936" s="4" t="str">
        <f>"0000707602"</f>
        <v>0000707602</v>
      </c>
      <c r="D936" s="5" t="str">
        <f>"国際租税法 / 宮武敏夫著.-- 有斐閣; 1993.3."</f>
        <v>国際租税法 / 宮武敏夫著.-- 有斐閣; 1993.3.</v>
      </c>
      <c r="E936" s="5" t="str">
        <f>""</f>
        <v/>
      </c>
      <c r="F936" s="26"/>
      <c r="G936" s="27" t="str">
        <f>"345.1/ﾐﾔ"</f>
        <v>345.1/ﾐﾔ</v>
      </c>
      <c r="H936" s="4" t="str">
        <f>"1995/03/31"</f>
        <v>1995/03/31</v>
      </c>
      <c r="I936" s="6">
        <v>2795</v>
      </c>
      <c r="J936" s="6">
        <v>100</v>
      </c>
      <c r="K936" s="4" t="str">
        <f t="shared" si="49"/>
        <v>1  和書</v>
      </c>
      <c r="L936" s="7"/>
    </row>
    <row r="937" spans="1:12" ht="24" x14ac:dyDescent="0.15">
      <c r="A937" s="36">
        <v>936</v>
      </c>
      <c r="B937" s="3" t="s">
        <v>42</v>
      </c>
      <c r="C937" s="4" t="str">
        <f>"0000715287"</f>
        <v>0000715287</v>
      </c>
      <c r="D937" s="5" t="str">
        <f>"コンメンタール法人税基本通達 / 渡辺淑夫, 田中豊執筆.-- 新訂版.-- 税務研究会出版局; 1994.10."</f>
        <v>コンメンタール法人税基本通達 / 渡辺淑夫, 田中豊執筆.-- 新訂版.-- 税務研究会出版局; 1994.10.</v>
      </c>
      <c r="E937" s="5" t="str">
        <f>""</f>
        <v/>
      </c>
      <c r="F937" s="26"/>
      <c r="G937" s="27" t="str">
        <f>"345.3/ﾜﾀ"</f>
        <v>345.3/ﾜﾀ</v>
      </c>
      <c r="H937" s="4" t="str">
        <f>"1995/03/31"</f>
        <v>1995/03/31</v>
      </c>
      <c r="I937" s="6">
        <v>4483</v>
      </c>
      <c r="J937" s="6">
        <v>100</v>
      </c>
      <c r="K937" s="4" t="str">
        <f t="shared" si="49"/>
        <v>1  和書</v>
      </c>
      <c r="L937" s="7"/>
    </row>
    <row r="938" spans="1:12" ht="24" x14ac:dyDescent="0.15">
      <c r="A938" s="36">
        <v>937</v>
      </c>
      <c r="B938" s="3" t="s">
        <v>42</v>
      </c>
      <c r="C938" s="4" t="str">
        <f>"0001058642"</f>
        <v>0001058642</v>
      </c>
      <c r="D938" s="5" t="str">
        <f>"外国税額控除 : 国際的二重課税排除の理論と実務 / 渡辺淑夫著.-- 新訂版.-- 同文舘出版; 1993.4."</f>
        <v>外国税額控除 : 国際的二重課税排除の理論と実務 / 渡辺淑夫著.-- 新訂版.-- 同文舘出版; 1993.4.</v>
      </c>
      <c r="E938" s="5" t="str">
        <f>""</f>
        <v/>
      </c>
      <c r="F938" s="26"/>
      <c r="G938" s="27" t="str">
        <f>"345.3/ﾜﾀ"</f>
        <v>345.3/ﾜﾀ</v>
      </c>
      <c r="H938" s="4" t="str">
        <f>"1996/03/29"</f>
        <v>1996/03/29</v>
      </c>
      <c r="I938" s="6">
        <v>3168</v>
      </c>
      <c r="J938" s="6">
        <v>100</v>
      </c>
      <c r="K938" s="4" t="str">
        <f t="shared" si="49"/>
        <v>1  和書</v>
      </c>
      <c r="L938" s="7"/>
    </row>
    <row r="939" spans="1:12" ht="24" x14ac:dyDescent="0.15">
      <c r="A939" s="36">
        <v>938</v>
      </c>
      <c r="B939" s="3" t="s">
        <v>42</v>
      </c>
      <c r="C939" s="4" t="str">
        <f>"0000696166"</f>
        <v>0000696166</v>
      </c>
      <c r="D939" s="5" t="str">
        <f>"多国籍企業税法 : 移転価格の法理 / 木村弘之亮著.-- 慶應義塾大学法学研究会.-- (慶應義塾大学法学研究会叢書 ; 55)."</f>
        <v>多国籍企業税法 : 移転価格の法理 / 木村弘之亮著.-- 慶應義塾大学法学研究会.-- (慶應義塾大学法学研究会叢書 ; 55).</v>
      </c>
      <c r="E939" s="5" t="str">
        <f>""</f>
        <v/>
      </c>
      <c r="F939" s="26"/>
      <c r="G939" s="27" t="str">
        <f>"345.65/ｷﾑ"</f>
        <v>345.65/ｷﾑ</v>
      </c>
      <c r="H939" s="4" t="str">
        <f>"1995/03/31"</f>
        <v>1995/03/31</v>
      </c>
      <c r="I939" s="6">
        <v>6128</v>
      </c>
      <c r="J939" s="6">
        <v>100</v>
      </c>
      <c r="K939" s="4" t="str">
        <f t="shared" si="49"/>
        <v>1  和書</v>
      </c>
      <c r="L939" s="7"/>
    </row>
    <row r="940" spans="1:12" ht="24" x14ac:dyDescent="0.15">
      <c r="A940" s="36">
        <v>939</v>
      </c>
      <c r="B940" s="3" t="s">
        <v>42</v>
      </c>
      <c r="C940" s="4" t="str">
        <f>"0002111360"</f>
        <v>0002111360</v>
      </c>
      <c r="D940" s="5" t="str">
        <f>"地方財政白書 / 自治省編 ; 平成8年版 - 平成31年版.-- 大蔵省印刷局; 1996-."</f>
        <v>地方財政白書 / 自治省編 ; 平成8年版 - 平成31年版.-- 大蔵省印刷局; 1996-.</v>
      </c>
      <c r="E940" s="5" t="str">
        <f>"平成11年版"</f>
        <v>平成11年版</v>
      </c>
      <c r="F940" s="26"/>
      <c r="G940" s="27" t="str">
        <f>"R349.21/ｼﾞﾁ/99"</f>
        <v>R349.21/ｼﾞﾁ/99</v>
      </c>
      <c r="H940" s="4" t="str">
        <f>"1999/07/16"</f>
        <v>1999/07/16</v>
      </c>
      <c r="I940" s="6">
        <v>2022</v>
      </c>
      <c r="J940" s="6">
        <v>100</v>
      </c>
      <c r="K940" s="4" t="str">
        <f t="shared" si="49"/>
        <v>1  和書</v>
      </c>
      <c r="L940" s="7"/>
    </row>
    <row r="941" spans="1:12" ht="24" x14ac:dyDescent="0.15">
      <c r="A941" s="36">
        <v>940</v>
      </c>
      <c r="B941" s="3" t="s">
        <v>43</v>
      </c>
      <c r="C941" s="4" t="str">
        <f>"0001297911"</f>
        <v>0001297911</v>
      </c>
      <c r="D941" s="5" t="str">
        <f>"世界国勢図会 / 矢野恒太記念会編 ; [1985年版] - 2018/19年版.-- 国勢社; 1985-."</f>
        <v>世界国勢図会 / 矢野恒太記念会編 ; [1985年版] - 2018/19年版.-- 国勢社; 1985-.</v>
      </c>
      <c r="E941" s="5" t="str">
        <f>"'97/98年版"</f>
        <v>'97/98年版</v>
      </c>
      <c r="F941" s="26"/>
      <c r="G941" s="27" t="str">
        <f>"R350.9/ﾔﾉ/97-98"</f>
        <v>R350.9/ﾔﾉ/97-98</v>
      </c>
      <c r="H941" s="4" t="str">
        <f>"1997/09/22"</f>
        <v>1997/09/22</v>
      </c>
      <c r="I941" s="6">
        <v>2293</v>
      </c>
      <c r="J941" s="6">
        <v>100</v>
      </c>
      <c r="K941" s="4" t="str">
        <f t="shared" si="49"/>
        <v>1  和書</v>
      </c>
      <c r="L941" s="7"/>
    </row>
    <row r="942" spans="1:12" ht="24" x14ac:dyDescent="0.15">
      <c r="A942" s="36">
        <v>941</v>
      </c>
      <c r="B942" s="3" t="s">
        <v>43</v>
      </c>
      <c r="C942" s="4" t="str">
        <f>"0002108643"</f>
        <v>0002108643</v>
      </c>
      <c r="D942" s="5" t="str">
        <f>"世界国勢図会 / 矢野恒太記念会編 ; [1985年版] - 2018/19年版.-- 国勢社; 1985-."</f>
        <v>世界国勢図会 / 矢野恒太記念会編 ; [1985年版] - 2018/19年版.-- 国勢社; 1985-.</v>
      </c>
      <c r="E942" s="5" t="str">
        <f>"'98/99年版"</f>
        <v>'98/99年版</v>
      </c>
      <c r="F942" s="26"/>
      <c r="G942" s="27" t="str">
        <f>"R350.9/ﾔﾉ/98-99"</f>
        <v>R350.9/ﾔﾉ/98-99</v>
      </c>
      <c r="H942" s="4" t="str">
        <f>"1999/06/18"</f>
        <v>1999/06/18</v>
      </c>
      <c r="I942" s="6">
        <v>2385</v>
      </c>
      <c r="J942" s="6">
        <v>100</v>
      </c>
      <c r="K942" s="4" t="str">
        <f t="shared" si="49"/>
        <v>1  和書</v>
      </c>
      <c r="L942" s="7"/>
    </row>
    <row r="943" spans="1:12" ht="24" x14ac:dyDescent="0.15">
      <c r="A943" s="36">
        <v>942</v>
      </c>
      <c r="B943" s="3" t="s">
        <v>43</v>
      </c>
      <c r="C943" s="4" t="str">
        <f>"0002108636"</f>
        <v>0002108636</v>
      </c>
      <c r="D943" s="5" t="str">
        <f>"日本国勢図会 / 矢野恒太記念会編 ; 1991年版 - 2019/20年版.-- 日本評論社; 1991-."</f>
        <v>日本国勢図会 / 矢野恒太記念会編 ; 1991年版 - 2019/20年版.-- 日本評論社; 1991-.</v>
      </c>
      <c r="E943" s="5" t="str">
        <f>"1999/2000年版"</f>
        <v>1999/2000年版</v>
      </c>
      <c r="F943" s="26"/>
      <c r="G943" s="27" t="str">
        <f>"R351/ﾔﾉ/99-00"</f>
        <v>R351/ﾔﾉ/99-00</v>
      </c>
      <c r="H943" s="4" t="str">
        <f>"1999/06/18"</f>
        <v>1999/06/18</v>
      </c>
      <c r="I943" s="6">
        <v>2385</v>
      </c>
      <c r="J943" s="6">
        <v>100</v>
      </c>
      <c r="K943" s="4" t="str">
        <f t="shared" si="49"/>
        <v>1  和書</v>
      </c>
      <c r="L943" s="7"/>
    </row>
    <row r="944" spans="1:12" ht="24" x14ac:dyDescent="0.15">
      <c r="A944" s="36">
        <v>943</v>
      </c>
      <c r="B944" s="3" t="s">
        <v>44</v>
      </c>
      <c r="C944" s="4" t="str">
        <f>"0001855937"</f>
        <v>0001855937</v>
      </c>
      <c r="D944" s="5" t="str">
        <f>"行為と演技 : 日常生活における自己呈示 / E.ゴッフマン著 ; 石黒毅訳.-- 誠信書房; 1974.11.-- (ゴッフマンの社会学 / E・ゴッフマン著 ; 1)."</f>
        <v>行為と演技 : 日常生活における自己呈示 / E.ゴッフマン著 ; 石黒毅訳.-- 誠信書房; 1974.11.-- (ゴッフマンの社会学 / E・ゴッフマン著 ; 1).</v>
      </c>
      <c r="E944" s="5" t="str">
        <f>""</f>
        <v/>
      </c>
      <c r="F944" s="26"/>
      <c r="G944" s="27" t="str">
        <f>"361/ｺﾞﾂ/1"</f>
        <v>361/ｺﾞﾂ/1</v>
      </c>
      <c r="H944" s="4" t="str">
        <f>"1999/01/17"</f>
        <v>1999/01/17</v>
      </c>
      <c r="I944" s="6">
        <v>2362</v>
      </c>
      <c r="J944" s="6">
        <v>100</v>
      </c>
      <c r="K944" s="4" t="str">
        <f t="shared" si="49"/>
        <v>1  和書</v>
      </c>
      <c r="L944" s="7"/>
    </row>
    <row r="945" spans="1:12" x14ac:dyDescent="0.15">
      <c r="A945" s="36">
        <v>944</v>
      </c>
      <c r="B945" s="3" t="s">
        <v>44</v>
      </c>
      <c r="C945" s="10" t="str">
        <f>"0002635804"</f>
        <v>0002635804</v>
      </c>
      <c r="D945" s="11" t="str">
        <f>"三次元の人間 : 生成の思想を語る / 作田啓一著.-- 行路社; 1995.10."</f>
        <v>三次元の人間 : 生成の思想を語る / 作田啓一著.-- 行路社; 1995.10.</v>
      </c>
      <c r="E945" s="11" t="str">
        <f>""</f>
        <v/>
      </c>
      <c r="F945" s="28" t="s">
        <v>8</v>
      </c>
      <c r="G945" s="29" t="str">
        <f>"361/ｻｸ"</f>
        <v>361/ｻｸ</v>
      </c>
      <c r="H945" s="10" t="str">
        <f>"2003/07/07"</f>
        <v>2003/07/07</v>
      </c>
      <c r="I945" s="12">
        <v>1890</v>
      </c>
      <c r="J945" s="12">
        <v>100</v>
      </c>
      <c r="K945" s="10" t="str">
        <f t="shared" si="49"/>
        <v>1  和書</v>
      </c>
      <c r="L945" s="13"/>
    </row>
    <row r="946" spans="1:12" ht="24" x14ac:dyDescent="0.15">
      <c r="A946" s="36">
        <v>945</v>
      </c>
      <c r="B946" s="3" t="s">
        <v>44</v>
      </c>
      <c r="C946" s="4" t="str">
        <f>"0002108964"</f>
        <v>0002108964</v>
      </c>
      <c r="D946" s="5" t="str">
        <f>"実践感覚 / ピエール・ブルデュ著 ; 今村仁司, 港道隆共訳 ; 1, 2.-- みすず書房; 1988.8-1990.10."</f>
        <v>実践感覚 / ピエール・ブルデュ著 ; 今村仁司, 港道隆共訳 ; 1, 2.-- みすず書房; 1988.8-1990.10.</v>
      </c>
      <c r="E946" s="5" t="str">
        <f>"1"</f>
        <v>1</v>
      </c>
      <c r="F946" s="26"/>
      <c r="G946" s="27" t="str">
        <f>"361/ﾌﾞﾙ/1"</f>
        <v>361/ﾌﾞﾙ/1</v>
      </c>
      <c r="H946" s="4" t="str">
        <f>"1999/06/08"</f>
        <v>1999/06/08</v>
      </c>
      <c r="I946" s="6">
        <v>2268</v>
      </c>
      <c r="J946" s="6">
        <v>100</v>
      </c>
      <c r="K946" s="4" t="str">
        <f t="shared" si="49"/>
        <v>1  和書</v>
      </c>
      <c r="L946" s="7"/>
    </row>
    <row r="947" spans="1:12" ht="24" x14ac:dyDescent="0.15">
      <c r="A947" s="36">
        <v>946</v>
      </c>
      <c r="B947" s="3" t="s">
        <v>44</v>
      </c>
      <c r="C947" s="4" t="str">
        <f>"0002108940"</f>
        <v>0002108940</v>
      </c>
      <c r="D947" s="5" t="str">
        <f>"実践感覚 / ピエール・ブルデュ著 ; 今村仁司, 港道隆共訳 ; 1, 2.-- みすず書房; 1988.8-1990.10."</f>
        <v>実践感覚 / ピエール・ブルデュ著 ; 今村仁司, 港道隆共訳 ; 1, 2.-- みすず書房; 1988.8-1990.10.</v>
      </c>
      <c r="E947" s="5" t="str">
        <f>"2"</f>
        <v>2</v>
      </c>
      <c r="F947" s="26"/>
      <c r="G947" s="27" t="str">
        <f>"361/ﾌﾞﾙ/2"</f>
        <v>361/ﾌﾞﾙ/2</v>
      </c>
      <c r="H947" s="4" t="str">
        <f>"1999/06/08"</f>
        <v>1999/06/08</v>
      </c>
      <c r="I947" s="6">
        <v>2835</v>
      </c>
      <c r="J947" s="6">
        <v>100</v>
      </c>
      <c r="K947" s="4" t="str">
        <f t="shared" si="49"/>
        <v>1  和書</v>
      </c>
      <c r="L947" s="7"/>
    </row>
    <row r="948" spans="1:12" ht="24" x14ac:dyDescent="0.15">
      <c r="A948" s="36">
        <v>947</v>
      </c>
      <c r="B948" s="3" t="s">
        <v>44</v>
      </c>
      <c r="C948" s="4" t="str">
        <f>"0003116616"</f>
        <v>0003116616</v>
      </c>
      <c r="D948" s="5" t="str">
        <f>"エスノメソドロジー : 人びとの実践から学ぶ / 前田泰樹, 水川喜文, 岡田光弘編.-- 新曜社; 2007.8.-- (ワードマップ)."</f>
        <v>エスノメソドロジー : 人びとの実践から学ぶ / 前田泰樹, 水川喜文, 岡田光弘編.-- 新曜社; 2007.8.-- (ワードマップ).</v>
      </c>
      <c r="E948" s="5" t="str">
        <f>""</f>
        <v/>
      </c>
      <c r="F948" s="26"/>
      <c r="G948" s="27" t="str">
        <f>"361/ﾏｴ"</f>
        <v>361/ﾏｴ</v>
      </c>
      <c r="H948" s="4" t="str">
        <f>"2010/09/14"</f>
        <v>2010/09/14</v>
      </c>
      <c r="I948" s="6">
        <v>2268</v>
      </c>
      <c r="J948" s="6">
        <v>100</v>
      </c>
      <c r="K948" s="4" t="str">
        <f t="shared" si="49"/>
        <v>1  和書</v>
      </c>
      <c r="L948" s="7"/>
    </row>
    <row r="949" spans="1:12" ht="24" x14ac:dyDescent="0.15">
      <c r="A949" s="36">
        <v>948</v>
      </c>
      <c r="B949" s="3" t="s">
        <v>44</v>
      </c>
      <c r="C949" s="4" t="str">
        <f>"0001613193"</f>
        <v>0001613193</v>
      </c>
      <c r="D949" s="5" t="str">
        <f>"政治 / 秋元律郎, 間場寿一編.-- 東京大学出版会; 1985.11.-- (リーディングス日本の社会学 ; 14)."</f>
        <v>政治 / 秋元律郎, 間場寿一編.-- 東京大学出版会; 1985.11.-- (リーディングス日本の社会学 ; 14).</v>
      </c>
      <c r="E949" s="5" t="str">
        <f>""</f>
        <v/>
      </c>
      <c r="F949" s="26"/>
      <c r="G949" s="27" t="str">
        <f>"361/ﾘﾃﾞ/14"</f>
        <v>361/ﾘﾃﾞ/14</v>
      </c>
      <c r="H949" s="4" t="str">
        <f>"1995/03/31"</f>
        <v>1995/03/31</v>
      </c>
      <c r="I949" s="6">
        <v>1</v>
      </c>
      <c r="J949" s="6">
        <v>100</v>
      </c>
      <c r="K949" s="4" t="str">
        <f t="shared" si="49"/>
        <v>1  和書</v>
      </c>
      <c r="L949" s="7"/>
    </row>
    <row r="950" spans="1:12" ht="24" x14ac:dyDescent="0.15">
      <c r="A950" s="36">
        <v>949</v>
      </c>
      <c r="B950" s="3" t="s">
        <v>44</v>
      </c>
      <c r="C950" s="4" t="str">
        <f>"0001613186"</f>
        <v>0001613186</v>
      </c>
      <c r="D950" s="5" t="str">
        <f>"都市 / 鈴木広, 高橋勇悦, 篠原隆弘編.-- 東京大学出版会; 1985.11.-- (リーディングス日本の社会学 ; 7)."</f>
        <v>都市 / 鈴木広, 高橋勇悦, 篠原隆弘編.-- 東京大学出版会; 1985.11.-- (リーディングス日本の社会学 ; 7).</v>
      </c>
      <c r="E950" s="5" t="str">
        <f>""</f>
        <v/>
      </c>
      <c r="F950" s="26"/>
      <c r="G950" s="27" t="str">
        <f>"361/ﾘﾃﾞ/7"</f>
        <v>361/ﾘﾃﾞ/7</v>
      </c>
      <c r="H950" s="4" t="str">
        <f>"1995/03/31"</f>
        <v>1995/03/31</v>
      </c>
      <c r="I950" s="6">
        <v>1</v>
      </c>
      <c r="J950" s="6">
        <v>100</v>
      </c>
      <c r="K950" s="4" t="str">
        <f t="shared" si="49"/>
        <v>1  和書</v>
      </c>
      <c r="L950" s="7"/>
    </row>
    <row r="951" spans="1:12" ht="24" x14ac:dyDescent="0.15">
      <c r="A951" s="36">
        <v>950</v>
      </c>
      <c r="B951" s="3" t="s">
        <v>44</v>
      </c>
      <c r="C951" s="4" t="str">
        <f>"0000240826"</f>
        <v>0000240826</v>
      </c>
      <c r="D951" s="5" t="str">
        <f>"社会階層・社会移動 / 直井優, 原純輔, 小林甫編.-- 東京大学出版会; 1986.3.-- (リーディングス日本の社会学 ; 8)."</f>
        <v>社会階層・社会移動 / 直井優, 原純輔, 小林甫編.-- 東京大学出版会; 1986.3.-- (リーディングス日本の社会学 ; 8).</v>
      </c>
      <c r="E951" s="5" t="str">
        <f>""</f>
        <v/>
      </c>
      <c r="F951" s="26"/>
      <c r="G951" s="27" t="str">
        <f>"361/ﾘﾃﾞ/8"</f>
        <v>361/ﾘﾃﾞ/8</v>
      </c>
      <c r="H951" s="4" t="str">
        <f>"1994/03/31"</f>
        <v>1994/03/31</v>
      </c>
      <c r="I951" s="6">
        <v>2127</v>
      </c>
      <c r="J951" s="6">
        <v>100</v>
      </c>
      <c r="K951" s="4" t="str">
        <f t="shared" si="49"/>
        <v>1  和書</v>
      </c>
      <c r="L951" s="7"/>
    </row>
    <row r="952" spans="1:12" ht="24" x14ac:dyDescent="0.15">
      <c r="A952" s="36">
        <v>951</v>
      </c>
      <c r="B952" s="3" t="s">
        <v>44</v>
      </c>
      <c r="C952" s="4" t="str">
        <f>"0003116227"</f>
        <v>0003116227</v>
      </c>
      <c r="D952" s="5" t="str">
        <f>"ラルース社会学事典 / R・ブードン [ほか] 編 ; 宮島喬 [ほか] 訳.-- 弘文堂; 1997.2."</f>
        <v>ラルース社会学事典 / R・ブードン [ほか] 編 ; 宮島喬 [ほか] 訳.-- 弘文堂; 1997.2.</v>
      </c>
      <c r="E952" s="5" t="str">
        <f>""</f>
        <v/>
      </c>
      <c r="F952" s="26"/>
      <c r="G952" s="27" t="str">
        <f>"R361.03/ﾌﾞﾄﾞ"</f>
        <v>R361.03/ﾌﾞﾄﾞ</v>
      </c>
      <c r="H952" s="4" t="str">
        <f>"2010/05/12"</f>
        <v>2010/05/12</v>
      </c>
      <c r="I952" s="6">
        <v>967</v>
      </c>
      <c r="J952" s="6">
        <v>100</v>
      </c>
      <c r="K952" s="4" t="str">
        <f t="shared" si="49"/>
        <v>1  和書</v>
      </c>
      <c r="L952" s="7"/>
    </row>
    <row r="953" spans="1:12" ht="24" x14ac:dyDescent="0.15">
      <c r="A953" s="36">
        <v>952</v>
      </c>
      <c r="B953" s="3" t="s">
        <v>44</v>
      </c>
      <c r="C953" s="4" t="str">
        <f>"0001147261"</f>
        <v>0001147261</v>
      </c>
      <c r="D953" s="5" t="str">
        <f>"危機における人間と学問 : マージナル・マンの理論とウェーバー像の変貌 / 折原浩著.-- 未来社; 1969.9."</f>
        <v>危機における人間と学問 : マージナル・マンの理論とウェーバー像の変貌 / 折原浩著.-- 未来社; 1969.9.</v>
      </c>
      <c r="E953" s="5" t="str">
        <f>""</f>
        <v/>
      </c>
      <c r="F953" s="26"/>
      <c r="G953" s="27" t="str">
        <f>"361.04/ｵﾘ"</f>
        <v>361.04/ｵﾘ</v>
      </c>
      <c r="H953" s="4" t="str">
        <f>"1996/03/29"</f>
        <v>1996/03/29</v>
      </c>
      <c r="I953" s="6">
        <v>2184</v>
      </c>
      <c r="J953" s="6">
        <v>100</v>
      </c>
      <c r="K953" s="4" t="str">
        <f t="shared" si="49"/>
        <v>1  和書</v>
      </c>
      <c r="L953" s="7"/>
    </row>
    <row r="954" spans="1:12" ht="24" x14ac:dyDescent="0.15">
      <c r="A954" s="36">
        <v>953</v>
      </c>
      <c r="B954" s="3" t="s">
        <v>44</v>
      </c>
      <c r="C954" s="4" t="str">
        <f>"0000118095"</f>
        <v>0000118095</v>
      </c>
      <c r="D954" s="5" t="str">
        <f>"法制化とコミュニケイション的行為 : ハーバーマス・シンポジウム / 河上倫逸, M.フーブリヒト編.-- 未來社; 1987.9."</f>
        <v>法制化とコミュニケイション的行為 : ハーバーマス・シンポジウム / 河上倫逸, M.フーブリヒト編.-- 未來社; 1987.9.</v>
      </c>
      <c r="E954" s="5" t="str">
        <f>""</f>
        <v/>
      </c>
      <c r="F954" s="26"/>
      <c r="G954" s="27" t="str">
        <f>"361.04/ｶﾜ"</f>
        <v>361.04/ｶﾜ</v>
      </c>
      <c r="H954" s="4" t="str">
        <f>"1994/03/31"</f>
        <v>1994/03/31</v>
      </c>
      <c r="I954" s="6">
        <v>1702</v>
      </c>
      <c r="J954" s="6">
        <v>100</v>
      </c>
      <c r="K954" s="4" t="str">
        <f t="shared" si="49"/>
        <v>1  和書</v>
      </c>
      <c r="L954" s="7"/>
    </row>
    <row r="955" spans="1:12" ht="24" x14ac:dyDescent="0.15">
      <c r="A955" s="36">
        <v>954</v>
      </c>
      <c r="B955" s="3" t="s">
        <v>44</v>
      </c>
      <c r="C955" s="4" t="str">
        <f>"0001363241"</f>
        <v>0001363241</v>
      </c>
      <c r="D955" s="5" t="str">
        <f>"成熟と老いの社会学 / 井上俊 [ほか] 編集.-- 岩波書店; 1997.2.-- (岩波講座現代社会学 / 井上俊 [ほか] 編 ; 13)."</f>
        <v>成熟と老いの社会学 / 井上俊 [ほか] 編集.-- 岩波書店; 1997.2.-- (岩波講座現代社会学 / 井上俊 [ほか] 編 ; 13).</v>
      </c>
      <c r="E955" s="5" t="str">
        <f>""</f>
        <v/>
      </c>
      <c r="F955" s="26"/>
      <c r="G955" s="27" t="str">
        <f>"361.08/ｲﾉ/13"</f>
        <v>361.08/ｲﾉ/13</v>
      </c>
      <c r="H955" s="4" t="str">
        <f>"1997/05/30"</f>
        <v>1997/05/30</v>
      </c>
      <c r="I955" s="6">
        <v>1890</v>
      </c>
      <c r="J955" s="6">
        <v>100</v>
      </c>
      <c r="K955" s="4" t="str">
        <f t="shared" si="49"/>
        <v>1  和書</v>
      </c>
      <c r="L955" s="7"/>
    </row>
    <row r="956" spans="1:12" ht="24" x14ac:dyDescent="0.15">
      <c r="A956" s="36">
        <v>955</v>
      </c>
      <c r="B956" s="3" t="s">
        <v>44</v>
      </c>
      <c r="C956" s="4" t="str">
        <f>"0001332261"</f>
        <v>0001332261</v>
      </c>
      <c r="D956" s="5" t="str">
        <f>"差別と共生の社会学 / 井上俊 [ほか] 編集委員.-- 岩波書店; 1996.4.-- (岩波講座現代社会学 / 井上俊 [ほか] 編 ; 15)."</f>
        <v>差別と共生の社会学 / 井上俊 [ほか] 編集委員.-- 岩波書店; 1996.4.-- (岩波講座現代社会学 / 井上俊 [ほか] 編 ; 15).</v>
      </c>
      <c r="E956" s="5" t="str">
        <f>""</f>
        <v/>
      </c>
      <c r="F956" s="26"/>
      <c r="G956" s="27" t="str">
        <f>"361.08/ｲﾉ/15"</f>
        <v>361.08/ｲﾉ/15</v>
      </c>
      <c r="H956" s="4" t="str">
        <f>"1996/08/28"</f>
        <v>1996/08/28</v>
      </c>
      <c r="I956" s="6">
        <v>1890</v>
      </c>
      <c r="J956" s="6">
        <v>100</v>
      </c>
      <c r="K956" s="4" t="str">
        <f t="shared" si="49"/>
        <v>1  和書</v>
      </c>
      <c r="L956" s="7"/>
    </row>
    <row r="957" spans="1:12" ht="24" x14ac:dyDescent="0.15">
      <c r="A957" s="36">
        <v>956</v>
      </c>
      <c r="B957" s="3" t="s">
        <v>44</v>
      </c>
      <c r="C957" s="10" t="str">
        <f>"0001303353"</f>
        <v>0001303353</v>
      </c>
      <c r="D957" s="11" t="str">
        <f>"デザイン・モード・ファッション / 井上俊 [ほか] 編集.-- 岩波書店; 1996.1.-- (岩波講座現代社会学 / 井上俊 [ほか] 編 ; 21)."</f>
        <v>デザイン・モード・ファッション / 井上俊 [ほか] 編集.-- 岩波書店; 1996.1.-- (岩波講座現代社会学 / 井上俊 [ほか] 編 ; 21).</v>
      </c>
      <c r="E957" s="11" t="str">
        <f>""</f>
        <v/>
      </c>
      <c r="F957" s="28" t="s">
        <v>8</v>
      </c>
      <c r="G957" s="29" t="str">
        <f>"361.08/ｲﾉ/21"</f>
        <v>361.08/ｲﾉ/21</v>
      </c>
      <c r="H957" s="10" t="str">
        <f>"1996/01/30"</f>
        <v>1996/01/30</v>
      </c>
      <c r="I957" s="12">
        <v>1890</v>
      </c>
      <c r="J957" s="12">
        <v>100</v>
      </c>
      <c r="K957" s="10" t="str">
        <f t="shared" si="49"/>
        <v>1  和書</v>
      </c>
      <c r="L957" s="13"/>
    </row>
    <row r="958" spans="1:12" ht="24" x14ac:dyDescent="0.15">
      <c r="A958" s="36">
        <v>957</v>
      </c>
      <c r="B958" s="3" t="s">
        <v>44</v>
      </c>
      <c r="C958" s="4" t="str">
        <f>"0001307870"</f>
        <v>0001307870</v>
      </c>
      <c r="D958" s="5" t="str">
        <f>"時間と空間の社会学 / 井上俊 [ほか] 編.-- 岩波書店; 1996.2.-- (岩波講座現代社会学 / 井上俊 [ほか] 編 ; 6)."</f>
        <v>時間と空間の社会学 / 井上俊 [ほか] 編.-- 岩波書店; 1996.2.-- (岩波講座現代社会学 / 井上俊 [ほか] 編 ; 6).</v>
      </c>
      <c r="E958" s="5" t="str">
        <f>""</f>
        <v/>
      </c>
      <c r="F958" s="26"/>
      <c r="G958" s="27" t="str">
        <f>"361.08/ｲﾉ/6"</f>
        <v>361.08/ｲﾉ/6</v>
      </c>
      <c r="H958" s="4" t="str">
        <f>"1996/02/28"</f>
        <v>1996/02/28</v>
      </c>
      <c r="I958" s="6">
        <v>1890</v>
      </c>
      <c r="J958" s="6">
        <v>100</v>
      </c>
      <c r="K958" s="4" t="str">
        <f t="shared" si="49"/>
        <v>1  和書</v>
      </c>
      <c r="L958" s="7"/>
    </row>
    <row r="959" spans="1:12" ht="24" x14ac:dyDescent="0.15">
      <c r="A959" s="36">
        <v>958</v>
      </c>
      <c r="B959" s="3" t="s">
        <v>44</v>
      </c>
      <c r="C959" s="4" t="str">
        <f>"0001332247"</f>
        <v>0001332247</v>
      </c>
      <c r="D959" s="5" t="str">
        <f>"「聖なるもの/呪われたもの」の社会学 / 井上俊 [ほか] 編集.-- 岩波書店; 1996.6.-- (岩波講座現代社会学 / 井上俊 [ほか] 編 ; 7)."</f>
        <v>「聖なるもの/呪われたもの」の社会学 / 井上俊 [ほか] 編集.-- 岩波書店; 1996.6.-- (岩波講座現代社会学 / 井上俊 [ほか] 編 ; 7).</v>
      </c>
      <c r="E959" s="5" t="str">
        <f>""</f>
        <v/>
      </c>
      <c r="F959" s="26"/>
      <c r="G959" s="27" t="str">
        <f>"361.08/ｲﾉ/7"</f>
        <v>361.08/ｲﾉ/7</v>
      </c>
      <c r="H959" s="4" t="str">
        <f>"1996/08/28"</f>
        <v>1996/08/28</v>
      </c>
      <c r="I959" s="6">
        <v>1890</v>
      </c>
      <c r="J959" s="6">
        <v>100</v>
      </c>
      <c r="K959" s="4" t="str">
        <f t="shared" si="49"/>
        <v>1  和書</v>
      </c>
      <c r="L959" s="7"/>
    </row>
    <row r="960" spans="1:12" ht="24" x14ac:dyDescent="0.15">
      <c r="A960" s="36">
        <v>959</v>
      </c>
      <c r="B960" s="3" t="s">
        <v>44</v>
      </c>
      <c r="C960" s="4" t="str">
        <f>"0001322477"</f>
        <v>0001322477</v>
      </c>
      <c r="D960" s="5" t="str">
        <f>"ライフコースの社会学 / 井上俊 [ほか] 編.-- 岩波書店; 1996.3.-- (岩波講座現代社会学 / 井上俊 [ほか] 編 ; 9)."</f>
        <v>ライフコースの社会学 / 井上俊 [ほか] 編.-- 岩波書店; 1996.3.-- (岩波講座現代社会学 / 井上俊 [ほか] 編 ; 9).</v>
      </c>
      <c r="E960" s="5" t="str">
        <f>""</f>
        <v/>
      </c>
      <c r="F960" s="26"/>
      <c r="G960" s="27" t="str">
        <f>"361.08/ｲﾉ/9"</f>
        <v>361.08/ｲﾉ/9</v>
      </c>
      <c r="H960" s="4" t="str">
        <f>"1996/06/18"</f>
        <v>1996/06/18</v>
      </c>
      <c r="I960" s="6">
        <v>1890</v>
      </c>
      <c r="J960" s="6">
        <v>100</v>
      </c>
      <c r="K960" s="4" t="str">
        <f t="shared" si="49"/>
        <v>1  和書</v>
      </c>
      <c r="L960" s="7"/>
    </row>
    <row r="961" spans="1:12" ht="24" x14ac:dyDescent="0.15">
      <c r="A961" s="36">
        <v>960</v>
      </c>
      <c r="B961" s="3" t="s">
        <v>44</v>
      </c>
      <c r="C961" s="4" t="str">
        <f>"0000275897"</f>
        <v>0000275897</v>
      </c>
      <c r="D961" s="5" t="str">
        <f>"勝つためのゲームの理論 : 適応戦略とは何か / 西山賢一著.-- 講談社; 1986.7.-- (ブルーバックス ; B-653)."</f>
        <v>勝つためのゲームの理論 : 適応戦略とは何か / 西山賢一著.-- 講談社; 1986.7.-- (ブルーバックス ; B-653).</v>
      </c>
      <c r="E961" s="5" t="str">
        <f>""</f>
        <v/>
      </c>
      <c r="F961" s="26"/>
      <c r="G961" s="27" t="str">
        <f>"361.3/ﾆｼ"</f>
        <v>361.3/ﾆｼ</v>
      </c>
      <c r="H961" s="4" t="str">
        <f>"1994/03/31"</f>
        <v>1994/03/31</v>
      </c>
      <c r="I961" s="6">
        <v>611</v>
      </c>
      <c r="J961" s="6">
        <v>100</v>
      </c>
      <c r="K961" s="4" t="str">
        <f t="shared" si="49"/>
        <v>1  和書</v>
      </c>
      <c r="L961" s="7"/>
    </row>
    <row r="962" spans="1:12" ht="24" x14ac:dyDescent="0.15">
      <c r="A962" s="36">
        <v>961</v>
      </c>
      <c r="B962" s="3" t="s">
        <v>44</v>
      </c>
      <c r="C962" s="4" t="str">
        <f>"0000863940"</f>
        <v>0000863940</v>
      </c>
      <c r="D962" s="5" t="str">
        <f>"勝つためのゲームの理論 : 適応戦略とは何か / 西山賢一著.-- 講談社; 1986.7.-- (ブルーバックス ; B-653)."</f>
        <v>勝つためのゲームの理論 : 適応戦略とは何か / 西山賢一著.-- 講談社; 1986.7.-- (ブルーバックス ; B-653).</v>
      </c>
      <c r="E962" s="5" t="str">
        <f>""</f>
        <v/>
      </c>
      <c r="F962" s="26"/>
      <c r="G962" s="27" t="str">
        <f>"361.3/ﾆｼ"</f>
        <v>361.3/ﾆｼ</v>
      </c>
      <c r="H962" s="4" t="str">
        <f>"1995/07/19"</f>
        <v>1995/07/19</v>
      </c>
      <c r="I962" s="6">
        <v>666</v>
      </c>
      <c r="J962" s="6">
        <v>100</v>
      </c>
      <c r="K962" s="4" t="str">
        <f t="shared" si="49"/>
        <v>1  和書</v>
      </c>
      <c r="L962" s="7"/>
    </row>
    <row r="963" spans="1:12" ht="24" x14ac:dyDescent="0.15">
      <c r="A963" s="36">
        <v>962</v>
      </c>
      <c r="B963" s="3" t="s">
        <v>44</v>
      </c>
      <c r="C963" s="4" t="str">
        <f>"9100008312"</f>
        <v>9100008312</v>
      </c>
      <c r="D963" s="5" t="str">
        <f>"真珠と桜 : 「ヒロシマ」から見たアメリカの心 / 秋葉忠利著.-- 朝日新聞社; 1986.7."</f>
        <v>真珠と桜 : 「ヒロシマ」から見たアメリカの心 / 秋葉忠利著.-- 朝日新聞社; 1986.7.</v>
      </c>
      <c r="E963" s="5" t="str">
        <f>""</f>
        <v/>
      </c>
      <c r="F963" s="26"/>
      <c r="G963" s="27" t="str">
        <f>"361.42/ｱｷ"</f>
        <v>361.42/ｱｷ</v>
      </c>
      <c r="H963" s="4" t="str">
        <f>"2011/04/01"</f>
        <v>2011/04/01</v>
      </c>
      <c r="I963" s="6">
        <v>1</v>
      </c>
      <c r="J963" s="6">
        <v>100</v>
      </c>
      <c r="K963" s="4" t="str">
        <f t="shared" si="49"/>
        <v>1  和書</v>
      </c>
      <c r="L963" s="7"/>
    </row>
    <row r="964" spans="1:12" x14ac:dyDescent="0.15">
      <c r="A964" s="36">
        <v>963</v>
      </c>
      <c r="B964" s="3" t="s">
        <v>44</v>
      </c>
      <c r="C964" s="4" t="str">
        <f>"9100007933"</f>
        <v>9100007933</v>
      </c>
      <c r="D964" s="5" t="str">
        <f>"日本人論 : 明治から今日まで / 南博著.-- 岩波書店; 1994.10."</f>
        <v>日本人論 : 明治から今日まで / 南博著.-- 岩波書店; 1994.10.</v>
      </c>
      <c r="E964" s="5" t="str">
        <f>""</f>
        <v/>
      </c>
      <c r="F964" s="26"/>
      <c r="G964" s="27" t="str">
        <f>"361.42/ﾐﾅ"</f>
        <v>361.42/ﾐﾅ</v>
      </c>
      <c r="H964" s="4" t="str">
        <f>"2011/03/17"</f>
        <v>2011/03/17</v>
      </c>
      <c r="I964" s="6">
        <v>1</v>
      </c>
      <c r="J964" s="6">
        <v>100</v>
      </c>
      <c r="K964" s="4" t="str">
        <f t="shared" si="49"/>
        <v>1  和書</v>
      </c>
      <c r="L964" s="7"/>
    </row>
    <row r="965" spans="1:12" ht="24" x14ac:dyDescent="0.15">
      <c r="A965" s="36">
        <v>964</v>
      </c>
      <c r="B965" s="3" t="s">
        <v>44</v>
      </c>
      <c r="C965" s="10" t="str">
        <f>"0002455877"</f>
        <v>0002455877</v>
      </c>
      <c r="D965" s="11" t="str">
        <f>"ネットワーク社会の深層構造 : 「薄口」の人間関係へ / 江下雅之著.-- 中央公論新社; 2000.1.-- (中公新書 ; 1516)."</f>
        <v>ネットワーク社会の深層構造 : 「薄口」の人間関係へ / 江下雅之著.-- 中央公論新社; 2000.1.-- (中公新書 ; 1516).</v>
      </c>
      <c r="E965" s="11" t="str">
        <f>""</f>
        <v/>
      </c>
      <c r="F965" s="28" t="s">
        <v>8</v>
      </c>
      <c r="G965" s="29" t="str">
        <f>"361.45/ｴｼ"</f>
        <v>361.45/ｴｼ</v>
      </c>
      <c r="H965" s="10" t="str">
        <f>"2001/07/03"</f>
        <v>2001/07/03</v>
      </c>
      <c r="I965" s="12">
        <v>793</v>
      </c>
      <c r="J965" s="12">
        <v>100</v>
      </c>
      <c r="K965" s="10" t="str">
        <f t="shared" si="49"/>
        <v>1  和書</v>
      </c>
      <c r="L965" s="13"/>
    </row>
    <row r="966" spans="1:12" ht="24" x14ac:dyDescent="0.15">
      <c r="A966" s="36">
        <v>965</v>
      </c>
      <c r="B966" s="3" t="s">
        <v>44</v>
      </c>
      <c r="C966" s="4" t="str">
        <f>"0002915203"</f>
        <v>0002915203</v>
      </c>
      <c r="D966" s="5" t="str">
        <f>"メディア・ナショナリズムのゆくえ : 「日中摩擦」を検証する / 大石裕, 山本信人編著.-- 朝日新聞社; 2006.10.-- (朝日選書 ; 807)."</f>
        <v>メディア・ナショナリズムのゆくえ : 「日中摩擦」を検証する / 大石裕, 山本信人編著.-- 朝日新聞社; 2006.10.-- (朝日選書 ; 807).</v>
      </c>
      <c r="E966" s="5" t="str">
        <f>""</f>
        <v/>
      </c>
      <c r="F966" s="26"/>
      <c r="G966" s="27" t="str">
        <f>"361.45/ｵｵ"</f>
        <v>361.45/ｵｵ</v>
      </c>
      <c r="H966" s="4" t="str">
        <f>"2007/03/30"</f>
        <v>2007/03/30</v>
      </c>
      <c r="I966" s="6">
        <v>1134</v>
      </c>
      <c r="J966" s="6">
        <v>100</v>
      </c>
      <c r="K966" s="4" t="str">
        <f t="shared" si="49"/>
        <v>1  和書</v>
      </c>
      <c r="L966" s="7"/>
    </row>
    <row r="967" spans="1:12" x14ac:dyDescent="0.15">
      <c r="A967" s="36">
        <v>966</v>
      </c>
      <c r="B967" s="3" t="s">
        <v>44</v>
      </c>
      <c r="C967" s="4" t="str">
        <f>"0002456072"</f>
        <v>0002456072</v>
      </c>
      <c r="D967" s="5" t="str">
        <f>"メディア文化の社会学 / 加藤晴明著.-- 福村出版; 2001.5."</f>
        <v>メディア文化の社会学 / 加藤晴明著.-- 福村出版; 2001.5.</v>
      </c>
      <c r="E967" s="5" t="str">
        <f>""</f>
        <v/>
      </c>
      <c r="F967" s="26"/>
      <c r="G967" s="27" t="str">
        <f>"361.45/ｶﾄ"</f>
        <v>361.45/ｶﾄ</v>
      </c>
      <c r="H967" s="4" t="str">
        <f>"2001/07/03"</f>
        <v>2001/07/03</v>
      </c>
      <c r="I967" s="6">
        <v>2173</v>
      </c>
      <c r="J967" s="6">
        <v>100</v>
      </c>
      <c r="K967" s="4" t="str">
        <f t="shared" si="49"/>
        <v>1  和書</v>
      </c>
      <c r="L967" s="7"/>
    </row>
    <row r="968" spans="1:12" ht="24" x14ac:dyDescent="0.15">
      <c r="A968" s="36">
        <v>967</v>
      </c>
      <c r="B968" s="3" t="s">
        <v>44</v>
      </c>
      <c r="C968" s="10" t="str">
        <f>"0002658896"</f>
        <v>0002658896</v>
      </c>
      <c r="D968" s="11" t="str">
        <f>"なぜメディア研究か : 経験・テクスト・他者 / ロジャー・シルバーストーン著 ; 吉見俊哉, 伊藤守, 土橋臣吾訳.-- せりか書房; 2003.4."</f>
        <v>なぜメディア研究か : 経験・テクスト・他者 / ロジャー・シルバーストーン著 ; 吉見俊哉, 伊藤守, 土橋臣吾訳.-- せりか書房; 2003.4.</v>
      </c>
      <c r="E968" s="11" t="str">
        <f>""</f>
        <v/>
      </c>
      <c r="F968" s="28" t="s">
        <v>8</v>
      </c>
      <c r="G968" s="29" t="str">
        <f>"361.45/ｼﾙ"</f>
        <v>361.45/ｼﾙ</v>
      </c>
      <c r="H968" s="10" t="str">
        <f>"2004/02/20"</f>
        <v>2004/02/20</v>
      </c>
      <c r="I968" s="12">
        <v>2646</v>
      </c>
      <c r="J968" s="12">
        <v>100</v>
      </c>
      <c r="K968" s="10" t="str">
        <f t="shared" si="49"/>
        <v>1  和書</v>
      </c>
      <c r="L968" s="13"/>
    </row>
    <row r="969" spans="1:12" ht="24" x14ac:dyDescent="0.15">
      <c r="A969" s="36">
        <v>968</v>
      </c>
      <c r="B969" s="3" t="s">
        <v>44</v>
      </c>
      <c r="C969" s="4" t="str">
        <f>"0002643410"</f>
        <v>0002643410</v>
      </c>
      <c r="D969" s="5" t="str">
        <f>"メディオロジー入門 : 「伝達作用」の諸相 / レジス・ドブレ著 ; 嶋崎正樹訳.-- NTT出版; 2000.3.-- (レジス・ドブレ著作選 / レジス・ドブレ著 ; 2)."</f>
        <v>メディオロジー入門 : 「伝達作用」の諸相 / レジス・ドブレ著 ; 嶋崎正樹訳.-- NTT出版; 2000.3.-- (レジス・ドブレ著作選 / レジス・ドブレ著 ; 2).</v>
      </c>
      <c r="E969" s="5" t="str">
        <f>""</f>
        <v/>
      </c>
      <c r="F969" s="26"/>
      <c r="G969" s="27" t="str">
        <f>"361.45/ﾄﾞﾌﾞ/2"</f>
        <v>361.45/ﾄﾞﾌﾞ/2</v>
      </c>
      <c r="H969" s="4" t="str">
        <f>"2003/10/30"</f>
        <v>2003/10/30</v>
      </c>
      <c r="I969" s="6">
        <v>2646</v>
      </c>
      <c r="J969" s="6">
        <v>100</v>
      </c>
      <c r="K969" s="4" t="str">
        <f t="shared" si="49"/>
        <v>1  和書</v>
      </c>
      <c r="L969" s="7"/>
    </row>
    <row r="970" spans="1:12" ht="24" x14ac:dyDescent="0.15">
      <c r="A970" s="36">
        <v>969</v>
      </c>
      <c r="B970" s="3" t="s">
        <v>44</v>
      </c>
      <c r="C970" s="10" t="str">
        <f>"0002658971"</f>
        <v>0002658971</v>
      </c>
      <c r="D970" s="11" t="str">
        <f>"一般メディオロジー講義 / レジス・ドブレ著 ; 嶋崎正樹訳.-- NTT出版; 2001.3.-- (レジス・ドブレ著作選 / レジス・ドブレ著 ; 3)."</f>
        <v>一般メディオロジー講義 / レジス・ドブレ著 ; 嶋崎正樹訳.-- NTT出版; 2001.3.-- (レジス・ドブレ著作選 / レジス・ドブレ著 ; 3).</v>
      </c>
      <c r="E970" s="11" t="str">
        <f>""</f>
        <v/>
      </c>
      <c r="F970" s="28" t="s">
        <v>8</v>
      </c>
      <c r="G970" s="29" t="str">
        <f>"361.45/ﾄﾞﾌﾞ/3"</f>
        <v>361.45/ﾄﾞﾌﾞ/3</v>
      </c>
      <c r="H970" s="10" t="str">
        <f>"2004/02/20"</f>
        <v>2004/02/20</v>
      </c>
      <c r="I970" s="12">
        <v>5197</v>
      </c>
      <c r="J970" s="12">
        <v>100</v>
      </c>
      <c r="K970" s="10" t="str">
        <f t="shared" si="49"/>
        <v>1  和書</v>
      </c>
      <c r="L970" s="13"/>
    </row>
    <row r="971" spans="1:12" ht="24" x14ac:dyDescent="0.15">
      <c r="A971" s="36">
        <v>970</v>
      </c>
      <c r="B971" s="3" t="s">
        <v>44</v>
      </c>
      <c r="C971" s="10" t="str">
        <f>"0001319828"</f>
        <v>0001319828</v>
      </c>
      <c r="D971" s="11" t="str">
        <f>"エレクトリック・メディアの近代 / 水越伸責任編集.-- ジャストシステム; 1996.2.-- (20世紀のメディア ; 1)."</f>
        <v>エレクトリック・メディアの近代 / 水越伸責任編集.-- ジャストシステム; 1996.2.-- (20世紀のメディア ; 1).</v>
      </c>
      <c r="E971" s="11" t="str">
        <f>""</f>
        <v/>
      </c>
      <c r="F971" s="28" t="s">
        <v>8</v>
      </c>
      <c r="G971" s="29" t="str">
        <f>"361.45/ﾆｼﾞ/1"</f>
        <v>361.45/ﾆｼﾞ/1</v>
      </c>
      <c r="H971" s="10" t="str">
        <f>"1996/05/26"</f>
        <v>1996/05/26</v>
      </c>
      <c r="I971" s="12">
        <v>2340</v>
      </c>
      <c r="J971" s="12">
        <v>100</v>
      </c>
      <c r="K971" s="10" t="str">
        <f t="shared" si="49"/>
        <v>1  和書</v>
      </c>
      <c r="L971" s="13"/>
    </row>
    <row r="972" spans="1:12" ht="24" x14ac:dyDescent="0.15">
      <c r="A972" s="36">
        <v>971</v>
      </c>
      <c r="B972" s="3" t="s">
        <v>44</v>
      </c>
      <c r="C972" s="4" t="str">
        <f>"0000519038"</f>
        <v>0000519038</v>
      </c>
      <c r="D972" s="5" t="str">
        <f>"機械の花嫁 : 産業社会のフォークロア / マーシャル・マクルーハン著 ; 井坂学訳 ; : 新装.-- 竹内書店新社; 1991.3."</f>
        <v>機械の花嫁 : 産業社会のフォークロア / マーシャル・マクルーハン著 ; 井坂学訳 ; : 新装.-- 竹内書店新社; 1991.3.</v>
      </c>
      <c r="E972" s="5" t="str">
        <f>": 新装"</f>
        <v>: 新装</v>
      </c>
      <c r="F972" s="26"/>
      <c r="G972" s="27" t="str">
        <f>"361.45/ﾏｸ"</f>
        <v>361.45/ﾏｸ</v>
      </c>
      <c r="H972" s="4" t="str">
        <f>"1995/01/19"</f>
        <v>1995/01/19</v>
      </c>
      <c r="I972" s="6">
        <v>1800</v>
      </c>
      <c r="J972" s="6">
        <v>100</v>
      </c>
      <c r="K972" s="4" t="str">
        <f t="shared" si="49"/>
        <v>1  和書</v>
      </c>
      <c r="L972" s="7"/>
    </row>
    <row r="973" spans="1:12" ht="24" x14ac:dyDescent="0.15">
      <c r="A973" s="36">
        <v>972</v>
      </c>
      <c r="B973" s="3" t="s">
        <v>44</v>
      </c>
      <c r="C973" s="4" t="str">
        <f>"0000865692"</f>
        <v>0000865692</v>
      </c>
      <c r="D973" s="5" t="str">
        <f>"つきあい方の科学 : バクテリアから国際関係まで / ロバート・アクセルロッド著 ; 松田裕之訳.-- CBS出版; 1987.2."</f>
        <v>つきあい方の科学 : バクテリアから国際関係まで / ロバート・アクセルロッド著 ; 松田裕之訳.-- CBS出版; 1987.2.</v>
      </c>
      <c r="E973" s="5" t="str">
        <f>""</f>
        <v/>
      </c>
      <c r="F973" s="26"/>
      <c r="G973" s="27" t="str">
        <f>"361.4/ｱｸ"</f>
        <v>361.4/ｱｸ</v>
      </c>
      <c r="H973" s="4" t="str">
        <f>"1995/07/25"</f>
        <v>1995/07/25</v>
      </c>
      <c r="I973" s="6">
        <v>2070</v>
      </c>
      <c r="J973" s="6">
        <v>100</v>
      </c>
      <c r="K973" s="4" t="str">
        <f t="shared" si="49"/>
        <v>1  和書</v>
      </c>
      <c r="L973" s="7"/>
    </row>
    <row r="974" spans="1:12" ht="24" x14ac:dyDescent="0.15">
      <c r="A974" s="36">
        <v>973</v>
      </c>
      <c r="B974" s="3" t="s">
        <v>44</v>
      </c>
      <c r="C974" s="4" t="str">
        <f>"0000004886"</f>
        <v>0000004886</v>
      </c>
      <c r="D974" s="5" t="str">
        <f>"階級と階級構造 / アラン・ハント編 ; 大橋隆憲 [ほか] 訳.-- 法律文化社; 1979.11."</f>
        <v>階級と階級構造 / アラン・ハント編 ; 大橋隆憲 [ほか] 訳.-- 法律文化社; 1979.11.</v>
      </c>
      <c r="E974" s="5" t="str">
        <f>""</f>
        <v/>
      </c>
      <c r="F974" s="26"/>
      <c r="G974" s="27" t="str">
        <f>"361.4/ﾊﾝ"</f>
        <v>361.4/ﾊﾝ</v>
      </c>
      <c r="H974" s="4" t="str">
        <f>"1994/03/31"</f>
        <v>1994/03/31</v>
      </c>
      <c r="I974" s="6">
        <v>1900</v>
      </c>
      <c r="J974" s="6">
        <v>100</v>
      </c>
      <c r="K974" s="4" t="str">
        <f t="shared" si="49"/>
        <v>1  和書</v>
      </c>
      <c r="L974" s="7"/>
    </row>
    <row r="975" spans="1:12" ht="36" x14ac:dyDescent="0.15">
      <c r="A975" s="36">
        <v>974</v>
      </c>
      <c r="B975" s="3" t="s">
        <v>44</v>
      </c>
      <c r="C975" s="4" t="str">
        <f>"0002542300"</f>
        <v>0002542300</v>
      </c>
      <c r="D975" s="5" t="str">
        <f>"Modernity at large : cultural dimensions of globalization / Arjun Appadurai ; : pbk.-- University of Minnesota Press; c1996.-- (Public worlds ; v. 1)."</f>
        <v>Modernity at large : cultural dimensions of globalization / Arjun Appadurai ; : pbk.-- University of Minnesota Press; c1996.-- (Public worlds ; v. 1).</v>
      </c>
      <c r="E975" s="5" t="str">
        <f>": pbk"</f>
        <v>: pbk</v>
      </c>
      <c r="F975" s="26"/>
      <c r="G975" s="27" t="str">
        <f>"361.5/AP"</f>
        <v>361.5/AP</v>
      </c>
      <c r="H975" s="4" t="str">
        <f>"2003/05/14"</f>
        <v>2003/05/14</v>
      </c>
      <c r="I975" s="6">
        <v>2840</v>
      </c>
      <c r="J975" s="6">
        <v>100</v>
      </c>
      <c r="K975" s="4" t="str">
        <f>"2  洋書"</f>
        <v>2  洋書</v>
      </c>
      <c r="L975" s="7"/>
    </row>
    <row r="976" spans="1:12" ht="24" x14ac:dyDescent="0.15">
      <c r="A976" s="36">
        <v>975</v>
      </c>
      <c r="B976" s="3" t="s">
        <v>44</v>
      </c>
      <c r="C976" s="10" t="str">
        <f>"0003132272"</f>
        <v>0003132272</v>
      </c>
      <c r="D976" s="11" t="str">
        <f>"日本的想像力の未来 : クール・ジャパノロジーの可能性 / 東浩紀編.-- 日本放送出版協会; 2010.8.-- (NHKブックス ; 1163)."</f>
        <v>日本的想像力の未来 : クール・ジャパノロジーの可能性 / 東浩紀編.-- 日本放送出版協会; 2010.8.-- (NHKブックス ; 1163).</v>
      </c>
      <c r="E976" s="11" t="str">
        <f>""</f>
        <v/>
      </c>
      <c r="F976" s="28" t="s">
        <v>8</v>
      </c>
      <c r="G976" s="29" t="str">
        <f>"361.5/ｱｽﾞ"</f>
        <v>361.5/ｱｽﾞ</v>
      </c>
      <c r="H976" s="10" t="str">
        <f>"2011/11/17"</f>
        <v>2011/11/17</v>
      </c>
      <c r="I976" s="12">
        <v>1155</v>
      </c>
      <c r="J976" s="12">
        <v>100</v>
      </c>
      <c r="K976" s="10" t="str">
        <f t="shared" si="49"/>
        <v>1  和書</v>
      </c>
      <c r="L976" s="13"/>
    </row>
    <row r="977" spans="1:12" x14ac:dyDescent="0.15">
      <c r="A977" s="36">
        <v>976</v>
      </c>
      <c r="B977" s="3" t="s">
        <v>44</v>
      </c>
      <c r="C977" s="4" t="str">
        <f>"0001307801"</f>
        <v>0001307801</v>
      </c>
      <c r="D977" s="5" t="str">
        <f>"大衆文化事典 / 石川弘義 [ほか] 編集.-- 縮刷版.-- 弘文堂; 1994.6."</f>
        <v>大衆文化事典 / 石川弘義 [ほか] 編集.-- 縮刷版.-- 弘文堂; 1994.6.</v>
      </c>
      <c r="E977" s="5" t="str">
        <f>""</f>
        <v/>
      </c>
      <c r="F977" s="26"/>
      <c r="G977" s="27" t="str">
        <f>"R361.5/ｲｼ"</f>
        <v>R361.5/ｲｼ</v>
      </c>
      <c r="H977" s="4" t="str">
        <f>"1996/02/28"</f>
        <v>1996/02/28</v>
      </c>
      <c r="I977" s="6">
        <v>5220</v>
      </c>
      <c r="J977" s="6">
        <v>100</v>
      </c>
      <c r="K977" s="4" t="str">
        <f t="shared" si="49"/>
        <v>1  和書</v>
      </c>
      <c r="L977" s="7"/>
    </row>
    <row r="978" spans="1:12" ht="36" x14ac:dyDescent="0.15">
      <c r="A978" s="36">
        <v>977</v>
      </c>
      <c r="B978" s="3" t="s">
        <v>44</v>
      </c>
      <c r="C978" s="4" t="str">
        <f>"0002623115"</f>
        <v>0002623115</v>
      </c>
      <c r="D978" s="5" t="str">
        <f>"想像と創造の未来 / NTTインターコミュニケーション・センター(ICC)編.-- NTT出版; 2000.3.-- (マルチメディア社会と変容する文化 / [NTT出版編集] ; 3)."</f>
        <v>想像と創造の未来 / NTTインターコミュニケーション・センター(ICC)編.-- NTT出版; 2000.3.-- (マルチメディア社会と変容する文化 / [NTT出版編集] ; 3).</v>
      </c>
      <c r="E978" s="5" t="str">
        <f>""</f>
        <v/>
      </c>
      <c r="F978" s="26"/>
      <c r="G978" s="27" t="str">
        <f>"361.5/ｴﾇ"</f>
        <v>361.5/ｴﾇ</v>
      </c>
      <c r="H978" s="4" t="str">
        <f>"2003/03/14"</f>
        <v>2003/03/14</v>
      </c>
      <c r="I978" s="6">
        <v>2173</v>
      </c>
      <c r="J978" s="6">
        <v>100</v>
      </c>
      <c r="K978" s="4" t="str">
        <f t="shared" si="49"/>
        <v>1  和書</v>
      </c>
      <c r="L978" s="7"/>
    </row>
    <row r="979" spans="1:12" ht="24" x14ac:dyDescent="0.15">
      <c r="A979" s="36">
        <v>978</v>
      </c>
      <c r="B979" s="3" t="s">
        <v>44</v>
      </c>
      <c r="C979" s="4" t="str">
        <f>"0000536820"</f>
        <v>0000536820</v>
      </c>
      <c r="D979" s="5" t="str">
        <f>"日本文化試論 : ベネディクト『菊と刀』を読む / 副田義也著.-- 新曜社; 1993.7."</f>
        <v>日本文化試論 : ベネディクト『菊と刀』を読む / 副田義也著.-- 新曜社; 1993.7.</v>
      </c>
      <c r="E979" s="5" t="str">
        <f>""</f>
        <v/>
      </c>
      <c r="F979" s="26"/>
      <c r="G979" s="27" t="str">
        <f>"361.5/ｿｴ"</f>
        <v>361.5/ｿｴ</v>
      </c>
      <c r="H979" s="4" t="str">
        <f>"1995/03/03"</f>
        <v>1995/03/03</v>
      </c>
      <c r="I979" s="6">
        <v>3244</v>
      </c>
      <c r="J979" s="6">
        <v>100</v>
      </c>
      <c r="K979" s="4" t="str">
        <f t="shared" si="49"/>
        <v>1  和書</v>
      </c>
      <c r="L979" s="7"/>
    </row>
    <row r="980" spans="1:12" ht="24" x14ac:dyDescent="0.15">
      <c r="A980" s="36">
        <v>979</v>
      </c>
      <c r="B980" s="3" t="s">
        <v>44</v>
      </c>
      <c r="C980" s="10" t="str">
        <f>"0000540315"</f>
        <v>0000540315</v>
      </c>
      <c r="D980" s="11" t="str">
        <f>"文化の協応 : 比較文化概論 / 中田光雄著.-- 東京大学出版会; 1982.8.-- (比較文化叢書 / 井門富二夫, 芳賀徹編 ; 2)."</f>
        <v>文化の協応 : 比較文化概論 / 中田光雄著.-- 東京大学出版会; 1982.8.-- (比較文化叢書 / 井門富二夫, 芳賀徹編 ; 2).</v>
      </c>
      <c r="E980" s="11" t="str">
        <f>""</f>
        <v/>
      </c>
      <c r="F980" s="28" t="s">
        <v>8</v>
      </c>
      <c r="G980" s="29" t="str">
        <f>"361.5/ﾅｶ"</f>
        <v>361.5/ﾅｶ</v>
      </c>
      <c r="H980" s="10" t="str">
        <f>"1995/03/09"</f>
        <v>1995/03/09</v>
      </c>
      <c r="I980" s="12">
        <v>1668</v>
      </c>
      <c r="J980" s="12">
        <v>100</v>
      </c>
      <c r="K980" s="10" t="str">
        <f t="shared" si="49"/>
        <v>1  和書</v>
      </c>
      <c r="L980" s="13"/>
    </row>
    <row r="981" spans="1:12" ht="24" x14ac:dyDescent="0.15">
      <c r="A981" s="36">
        <v>980</v>
      </c>
      <c r="B981" s="3" t="s">
        <v>44</v>
      </c>
      <c r="C981" s="4" t="str">
        <f>"0002921242"</f>
        <v>0002921242</v>
      </c>
      <c r="D981" s="5" t="str">
        <f>"族の系譜学 : ユース・サブカルチャーズの戦後史 / 難波功士著.-- 青弓社; 2007.6."</f>
        <v>族の系譜学 : ユース・サブカルチャーズの戦後史 / 難波功士著.-- 青弓社; 2007.6.</v>
      </c>
      <c r="E981" s="5" t="str">
        <f>""</f>
        <v/>
      </c>
      <c r="F981" s="26"/>
      <c r="G981" s="27" t="str">
        <f>"361.5/ﾅﾝ"</f>
        <v>361.5/ﾅﾝ</v>
      </c>
      <c r="H981" s="4" t="str">
        <f>"2007/11/19"</f>
        <v>2007/11/19</v>
      </c>
      <c r="I981" s="6">
        <v>2457</v>
      </c>
      <c r="J981" s="6">
        <v>100</v>
      </c>
      <c r="K981" s="4" t="str">
        <f t="shared" si="49"/>
        <v>1  和書</v>
      </c>
      <c r="L981" s="7"/>
    </row>
    <row r="982" spans="1:12" ht="24" x14ac:dyDescent="0.15">
      <c r="A982" s="36">
        <v>981</v>
      </c>
      <c r="B982" s="3" t="s">
        <v>44</v>
      </c>
      <c r="C982" s="4" t="str">
        <f>"0000967112"</f>
        <v>0000967112</v>
      </c>
      <c r="D982" s="5" t="str">
        <f>"多文化世界 : 違いを学び共存への道を探る / G・ホフステード著 ; 岩井紀子, 岩井八郎訳.-- 有斐閣; 1995.2."</f>
        <v>多文化世界 : 違いを学び共存への道を探る / G・ホフステード著 ; 岩井紀子, 岩井八郎訳.-- 有斐閣; 1995.2.</v>
      </c>
      <c r="E982" s="5" t="str">
        <f>""</f>
        <v/>
      </c>
      <c r="F982" s="26"/>
      <c r="G982" s="27" t="str">
        <f>"361.5/ﾎﾌ"</f>
        <v>361.5/ﾎﾌ</v>
      </c>
      <c r="H982" s="4" t="str">
        <f>"1996/09/20"</f>
        <v>1996/09/20</v>
      </c>
      <c r="I982" s="6">
        <v>2500</v>
      </c>
      <c r="J982" s="6">
        <v>100</v>
      </c>
      <c r="K982" s="4" t="str">
        <f t="shared" si="49"/>
        <v>1  和書</v>
      </c>
      <c r="L982" s="7"/>
    </row>
    <row r="983" spans="1:12" ht="24" x14ac:dyDescent="0.15">
      <c r="A983" s="36">
        <v>982</v>
      </c>
      <c r="B983" s="3" t="s">
        <v>44</v>
      </c>
      <c r="C983" s="4" t="str">
        <f>"0002455860"</f>
        <v>0002455860</v>
      </c>
      <c r="D983" s="5" t="str">
        <f>"群衆-モンスターの誕生 / 今村仁司著.-- 筑摩書房; 1996.1.-- (ちくま新書 ; 056)."</f>
        <v>群衆-モンスターの誕生 / 今村仁司著.-- 筑摩書房; 1996.1.-- (ちくま新書 ; 056).</v>
      </c>
      <c r="E983" s="5" t="str">
        <f>""</f>
        <v/>
      </c>
      <c r="F983" s="26"/>
      <c r="G983" s="27" t="str">
        <f>"361.62/ｲﾏ"</f>
        <v>361.62/ｲﾏ</v>
      </c>
      <c r="H983" s="4" t="str">
        <f>"2001/07/03"</f>
        <v>2001/07/03</v>
      </c>
      <c r="I983" s="6">
        <v>623</v>
      </c>
      <c r="J983" s="6">
        <v>100</v>
      </c>
      <c r="K983" s="4" t="str">
        <f t="shared" si="49"/>
        <v>1  和書</v>
      </c>
      <c r="L983" s="7"/>
    </row>
    <row r="984" spans="1:12" ht="24" x14ac:dyDescent="0.15">
      <c r="A984" s="36">
        <v>983</v>
      </c>
      <c r="B984" s="3" t="s">
        <v>44</v>
      </c>
      <c r="C984" s="10" t="str">
        <f>"0002465326"</f>
        <v>0002465326</v>
      </c>
      <c r="D984" s="11" t="str">
        <f>"古代の密儀 / マンリー・P・ホール著 ; 大沼忠弘[ほか]訳.-- 人文書院; 1980.11.-- (象徴哲学大系 / マンリー・P.ホール著 ; 1)."</f>
        <v>古代の密儀 / マンリー・P・ホール著 ; 大沼忠弘[ほか]訳.-- 人文書院; 1980.11.-- (象徴哲学大系 / マンリー・P.ホール著 ; 1).</v>
      </c>
      <c r="E984" s="11" t="str">
        <f>""</f>
        <v/>
      </c>
      <c r="F984" s="28" t="s">
        <v>8</v>
      </c>
      <c r="G984" s="29" t="str">
        <f>"361.65/ﾎﾙ/1"</f>
        <v>361.65/ﾎﾙ/1</v>
      </c>
      <c r="H984" s="10" t="str">
        <f>"2001/10/26"</f>
        <v>2001/10/26</v>
      </c>
      <c r="I984" s="12">
        <v>2000</v>
      </c>
      <c r="J984" s="12">
        <v>100</v>
      </c>
      <c r="K984" s="10" t="str">
        <f t="shared" si="49"/>
        <v>1  和書</v>
      </c>
      <c r="L984" s="13"/>
    </row>
    <row r="985" spans="1:12" ht="24" x14ac:dyDescent="0.15">
      <c r="A985" s="36">
        <v>984</v>
      </c>
      <c r="B985" s="3" t="s">
        <v>44</v>
      </c>
      <c r="C985" s="4" t="str">
        <f>"0000711821"</f>
        <v>0000711821</v>
      </c>
      <c r="D985" s="5" t="str">
        <f>"地域づくりと住民自治 / 福井英雄, 高田昇編.-- 法律文化社; 1993.4.-- (現代の地域課題と地域創造 ; 2)."</f>
        <v>地域づくりと住民自治 / 福井英雄, 高田昇編.-- 法律文化社; 1993.4.-- (現代の地域課題と地域創造 ; 2).</v>
      </c>
      <c r="E985" s="5" t="str">
        <f>""</f>
        <v/>
      </c>
      <c r="F985" s="26"/>
      <c r="G985" s="27" t="str">
        <f>"361.7/ｹﾞﾝ/2"</f>
        <v>361.7/ｹﾞﾝ/2</v>
      </c>
      <c r="H985" s="4" t="str">
        <f>"1995/03/31"</f>
        <v>1995/03/31</v>
      </c>
      <c r="I985" s="6">
        <v>2686</v>
      </c>
      <c r="J985" s="6">
        <v>100</v>
      </c>
      <c r="K985" s="4" t="str">
        <f t="shared" si="49"/>
        <v>1  和書</v>
      </c>
      <c r="L985" s="7"/>
    </row>
    <row r="986" spans="1:12" x14ac:dyDescent="0.15">
      <c r="A986" s="36">
        <v>985</v>
      </c>
      <c r="B986" s="3" t="s">
        <v>44</v>
      </c>
      <c r="C986" s="4" t="str">
        <f>"0000701792"</f>
        <v>0000701792</v>
      </c>
      <c r="D986" s="5" t="str">
        <f>"地域社会の変化と共生 / 田上光大著.-- 南窓社; 1993.12."</f>
        <v>地域社会の変化と共生 / 田上光大著.-- 南窓社; 1993.12.</v>
      </c>
      <c r="E986" s="5" t="str">
        <f>""</f>
        <v/>
      </c>
      <c r="F986" s="26"/>
      <c r="G986" s="27" t="str">
        <f>"361.7/ﾀｶﾞ"</f>
        <v>361.7/ﾀｶﾞ</v>
      </c>
      <c r="H986" s="4" t="str">
        <f>"1995/03/31"</f>
        <v>1995/03/31</v>
      </c>
      <c r="I986" s="6">
        <v>2099</v>
      </c>
      <c r="J986" s="6">
        <v>100</v>
      </c>
      <c r="K986" s="4" t="str">
        <f t="shared" si="49"/>
        <v>1  和書</v>
      </c>
      <c r="L986" s="7"/>
    </row>
    <row r="987" spans="1:12" ht="24" x14ac:dyDescent="0.15">
      <c r="A987" s="36">
        <v>986</v>
      </c>
      <c r="B987" s="3" t="s">
        <v>44</v>
      </c>
      <c r="C987" s="4" t="str">
        <f>"0002617558"</f>
        <v>0002617558</v>
      </c>
      <c r="D987" s="5" t="str">
        <f>"社会調査の公開データ : 2次分析への招待 / 佐藤博樹, 石田浩, 池田謙一編.-- 東京大学出版会; 2000.12."</f>
        <v>社会調査の公開データ : 2次分析への招待 / 佐藤博樹, 石田浩, 池田謙一編.-- 東京大学出版会; 2000.12.</v>
      </c>
      <c r="E987" s="5" t="str">
        <f>""</f>
        <v/>
      </c>
      <c r="F987" s="26"/>
      <c r="G987" s="27" t="str">
        <f>"361.9/ｻﾄ"</f>
        <v>361.9/ｻﾄ</v>
      </c>
      <c r="H987" s="4" t="str">
        <f>"2003/02/14"</f>
        <v>2003/02/14</v>
      </c>
      <c r="I987" s="6">
        <v>3024</v>
      </c>
      <c r="J987" s="6">
        <v>100</v>
      </c>
      <c r="K987" s="4" t="str">
        <f t="shared" ref="K987:K990" si="50">"1  和書"</f>
        <v>1  和書</v>
      </c>
      <c r="L987" s="7"/>
    </row>
    <row r="988" spans="1:12" ht="24" x14ac:dyDescent="0.15">
      <c r="A988" s="36">
        <v>987</v>
      </c>
      <c r="B988" s="3" t="s">
        <v>44</v>
      </c>
      <c r="C988" s="4" t="str">
        <f>"0003111642"</f>
        <v>0003111642</v>
      </c>
      <c r="D988" s="5" t="str">
        <f>"社会調査と権力 : 「社会的なもの」の危機と社会学 / 田中耕一, 荻野昌弘編.-- 世界思想社; 2007.3."</f>
        <v>社会調査と権力 : 「社会的なもの」の危機と社会学 / 田中耕一, 荻野昌弘編.-- 世界思想社; 2007.3.</v>
      </c>
      <c r="E988" s="5" t="str">
        <f>""</f>
        <v/>
      </c>
      <c r="F988" s="26"/>
      <c r="G988" s="27" t="str">
        <f>"361.9/ﾀﾅ"</f>
        <v>361.9/ﾀﾅ</v>
      </c>
      <c r="H988" s="4" t="str">
        <f>"2010/05/12"</f>
        <v>2010/05/12</v>
      </c>
      <c r="I988" s="6">
        <v>3402</v>
      </c>
      <c r="J988" s="6">
        <v>100</v>
      </c>
      <c r="K988" s="4" t="str">
        <f t="shared" si="50"/>
        <v>1  和書</v>
      </c>
      <c r="L988" s="7"/>
    </row>
    <row r="989" spans="1:12" ht="24" x14ac:dyDescent="0.15">
      <c r="A989" s="36">
        <v>988</v>
      </c>
      <c r="B989" s="3" t="s">
        <v>44</v>
      </c>
      <c r="C989" s="4" t="str">
        <f>"0002491240"</f>
        <v>0002491240</v>
      </c>
      <c r="D989" s="5" t="str">
        <f>"社会保障と世代・公正 / 国立社会保障・人口問題研究所編.-- 東京大学出版会; 2002.2.-- (社会保障研究シリーズ)."</f>
        <v>社会保障と世代・公正 / 国立社会保障・人口問題研究所編.-- 東京大学出版会; 2002.2.-- (社会保障研究シリーズ).</v>
      </c>
      <c r="E989" s="5" t="str">
        <f>""</f>
        <v/>
      </c>
      <c r="F989" s="26"/>
      <c r="G989" s="27" t="str">
        <f>"364/ｺｸ"</f>
        <v>364/ｺｸ</v>
      </c>
      <c r="H989" s="4" t="str">
        <f>"2002/06/18"</f>
        <v>2002/06/18</v>
      </c>
      <c r="I989" s="6">
        <v>3780</v>
      </c>
      <c r="J989" s="6">
        <v>100</v>
      </c>
      <c r="K989" s="4" t="str">
        <f t="shared" si="50"/>
        <v>1  和書</v>
      </c>
      <c r="L989" s="7"/>
    </row>
    <row r="990" spans="1:12" x14ac:dyDescent="0.15">
      <c r="A990" s="36">
        <v>989</v>
      </c>
      <c r="B990" s="3" t="s">
        <v>44</v>
      </c>
      <c r="C990" s="10" t="str">
        <f>"0003125472"</f>
        <v>0003125472</v>
      </c>
      <c r="D990" s="11" t="str">
        <f>"若年者就業の経済学 / 太田聰一著.-- 日本経済新聞出版社; 2010.11."</f>
        <v>若年者就業の経済学 / 太田聰一著.-- 日本経済新聞出版社; 2010.11.</v>
      </c>
      <c r="E990" s="11" t="str">
        <f>""</f>
        <v/>
      </c>
      <c r="F990" s="28" t="s">
        <v>8</v>
      </c>
      <c r="G990" s="29" t="str">
        <f>"366.21/ｵｵ"</f>
        <v>366.21/ｵｵ</v>
      </c>
      <c r="H990" s="10" t="str">
        <f>"2011/06/06"</f>
        <v>2011/06/06</v>
      </c>
      <c r="I990" s="12">
        <v>2268</v>
      </c>
      <c r="J990" s="12">
        <v>100</v>
      </c>
      <c r="K990" s="10" t="str">
        <f t="shared" si="50"/>
        <v>1  和書</v>
      </c>
      <c r="L990" s="13"/>
    </row>
    <row r="991" spans="1:12" ht="36" x14ac:dyDescent="0.15">
      <c r="A991" s="36">
        <v>990</v>
      </c>
      <c r="B991" s="3" t="s">
        <v>44</v>
      </c>
      <c r="C991" s="10" t="str">
        <f>"0000893503"</f>
        <v>0000893503</v>
      </c>
      <c r="D991" s="11" t="str">
        <f>"Women and industrialization in Asia / edited by Susan Horton.-- Routledge; 1996.-- (Routledge studies in the growth economies of Asia ; 3)."</f>
        <v>Women and industrialization in Asia / edited by Susan Horton.-- Routledge; 1996.-- (Routledge studies in the growth economies of Asia ; 3).</v>
      </c>
      <c r="E991" s="11" t="str">
        <f>""</f>
        <v/>
      </c>
      <c r="F991" s="28" t="s">
        <v>8</v>
      </c>
      <c r="G991" s="29" t="str">
        <f>"366.38/HO"</f>
        <v>366.38/HO</v>
      </c>
      <c r="H991" s="10" t="str">
        <f>"1996/01/17"</f>
        <v>1996/01/17</v>
      </c>
      <c r="I991" s="12">
        <v>10892</v>
      </c>
      <c r="J991" s="14">
        <v>500</v>
      </c>
      <c r="K991" s="10" t="str">
        <f>"2  洋書"</f>
        <v>2  洋書</v>
      </c>
      <c r="L991" s="13"/>
    </row>
    <row r="992" spans="1:12" ht="48" x14ac:dyDescent="0.15">
      <c r="A992" s="36">
        <v>991</v>
      </c>
      <c r="B992" s="3" t="s">
        <v>44</v>
      </c>
      <c r="C992" s="10" t="str">
        <f>"0001395532"</f>
        <v>0001395532</v>
      </c>
      <c r="D992" s="11" t="str">
        <f>"Japanese women : new feminist perspectives on the past, present, and future / edited by Kumiko Fujimura-Fanselow and Atsuko Kameda ; : cloth, : paper.-- Feminist Press at the City University of New York; 1995."</f>
        <v>Japanese women : new feminist perspectives on the past, present, and future / edited by Kumiko Fujimura-Fanselow and Atsuko Kameda ; : cloth, : paper.-- Feminist Press at the City University of New York; 1995.</v>
      </c>
      <c r="E992" s="11" t="str">
        <f>": paper"</f>
        <v>: paper</v>
      </c>
      <c r="F992" s="28" t="s">
        <v>8</v>
      </c>
      <c r="G992" s="29" t="str">
        <f>"367.21/FU"</f>
        <v>367.21/FU</v>
      </c>
      <c r="H992" s="10" t="str">
        <f>"1998/02/09"</f>
        <v>1998/02/09</v>
      </c>
      <c r="I992" s="12">
        <v>3139</v>
      </c>
      <c r="J992" s="12">
        <v>100</v>
      </c>
      <c r="K992" s="10" t="str">
        <f>"2  洋書"</f>
        <v>2  洋書</v>
      </c>
      <c r="L992" s="13"/>
    </row>
    <row r="993" spans="1:12" ht="24" x14ac:dyDescent="0.15">
      <c r="A993" s="36">
        <v>992</v>
      </c>
      <c r="B993" s="3" t="s">
        <v>44</v>
      </c>
      <c r="C993" s="4" t="str">
        <f>"0000948760"</f>
        <v>0000948760</v>
      </c>
      <c r="D993" s="5" t="str">
        <f>"「まじめ」の崩壊 : 平成日本の若者たち / 千石保著.-- サイマル出版会; 1991.5."</f>
        <v>「まじめ」の崩壊 : 平成日本の若者たち / 千石保著.-- サイマル出版会; 1991.5.</v>
      </c>
      <c r="E993" s="5" t="str">
        <f>""</f>
        <v/>
      </c>
      <c r="F993" s="26"/>
      <c r="G993" s="27" t="str">
        <f>"367.6/ｾﾝ"</f>
        <v>367.6/ｾﾝ</v>
      </c>
      <c r="H993" s="4" t="str">
        <f>"1996/03/30"</f>
        <v>1996/03/30</v>
      </c>
      <c r="I993" s="6">
        <v>1350</v>
      </c>
      <c r="J993" s="6">
        <v>100</v>
      </c>
      <c r="K993" s="4" t="str">
        <f t="shared" ref="K993:K1002" si="51">"1  和書"</f>
        <v>1  和書</v>
      </c>
      <c r="L993" s="7"/>
    </row>
    <row r="994" spans="1:12" ht="24" x14ac:dyDescent="0.15">
      <c r="A994" s="36">
        <v>993</v>
      </c>
      <c r="B994" s="3" t="s">
        <v>44</v>
      </c>
      <c r="C994" s="4" t="str">
        <f>"9100007001"</f>
        <v>9100007001</v>
      </c>
      <c r="D994" s="5" t="str">
        <f>"反貧困 : 「すべり台社会」からの脱出 / 湯浅誠著.-- 岩波書店; 2008.4.-- (岩波新書 ; 新赤版 1124)."</f>
        <v>反貧困 : 「すべり台社会」からの脱出 / 湯浅誠著.-- 岩波書店; 2008.4.-- (岩波新書 ; 新赤版 1124).</v>
      </c>
      <c r="E994" s="5" t="str">
        <f>""</f>
        <v/>
      </c>
      <c r="F994" s="26"/>
      <c r="G994" s="27" t="str">
        <f>"368.2/ﾕｱ"</f>
        <v>368.2/ﾕｱ</v>
      </c>
      <c r="H994" s="4" t="str">
        <f>"2011/03/17"</f>
        <v>2011/03/17</v>
      </c>
      <c r="I994" s="6">
        <v>1</v>
      </c>
      <c r="J994" s="6">
        <v>100</v>
      </c>
      <c r="K994" s="4" t="str">
        <f t="shared" si="51"/>
        <v>1  和書</v>
      </c>
      <c r="L994" s="7"/>
    </row>
    <row r="995" spans="1:12" ht="24" x14ac:dyDescent="0.15">
      <c r="A995" s="36">
        <v>994</v>
      </c>
      <c r="B995" s="3" t="s">
        <v>44</v>
      </c>
      <c r="C995" s="4" t="str">
        <f>"0003132104"</f>
        <v>0003132104</v>
      </c>
      <c r="D995" s="5" t="str">
        <f>"ケアの社会学 : 当事者主権の福祉社会へ / 上野千鶴子著.-- 太田出版; 2011.8."</f>
        <v>ケアの社会学 : 当事者主権の福祉社会へ / 上野千鶴子著.-- 太田出版; 2011.8.</v>
      </c>
      <c r="E995" s="5" t="str">
        <f>""</f>
        <v/>
      </c>
      <c r="F995" s="26"/>
      <c r="G995" s="27" t="str">
        <f>"369/ｳｴ"</f>
        <v>369/ｳｴ</v>
      </c>
      <c r="H995" s="4" t="str">
        <f>"2011/12/19"</f>
        <v>2011/12/19</v>
      </c>
      <c r="I995" s="6">
        <v>2693</v>
      </c>
      <c r="J995" s="6">
        <v>100</v>
      </c>
      <c r="K995" s="4" t="str">
        <f t="shared" si="51"/>
        <v>1  和書</v>
      </c>
      <c r="L995" s="7"/>
    </row>
    <row r="996" spans="1:12" ht="24" x14ac:dyDescent="0.15">
      <c r="A996" s="36">
        <v>995</v>
      </c>
      <c r="B996" s="3" t="s">
        <v>44</v>
      </c>
      <c r="C996" s="4" t="str">
        <f>"0002767482"</f>
        <v>0002767482</v>
      </c>
      <c r="D996" s="5" t="str">
        <f>"福祉と情報技術 / 市川熹, 手嶋教之共著 ; 人工知能学会編集.-- オーム社; 2006.9.-- (知の科学)."</f>
        <v>福祉と情報技術 / 市川熹, 手嶋教之共著 ; 人工知能学会編集.-- オーム社; 2006.9.-- (知の科学).</v>
      </c>
      <c r="E996" s="5" t="str">
        <f>""</f>
        <v/>
      </c>
      <c r="F996" s="26"/>
      <c r="G996" s="27" t="str">
        <f>"369.27/ｲﾁ"</f>
        <v>369.27/ｲﾁ</v>
      </c>
      <c r="H996" s="4" t="str">
        <f>"2006/11/21"</f>
        <v>2006/11/21</v>
      </c>
      <c r="I996" s="6">
        <v>3402</v>
      </c>
      <c r="J996" s="6">
        <v>100</v>
      </c>
      <c r="K996" s="4" t="str">
        <f t="shared" si="51"/>
        <v>1  和書</v>
      </c>
      <c r="L996" s="7"/>
    </row>
    <row r="997" spans="1:12" ht="24" x14ac:dyDescent="0.15">
      <c r="A997" s="36">
        <v>996</v>
      </c>
      <c r="B997" s="3" t="s">
        <v>44</v>
      </c>
      <c r="C997" s="10" t="str">
        <f>"0001928495"</f>
        <v>0001928495</v>
      </c>
      <c r="D997" s="11" t="str">
        <f>"ヒロシマ・ナガサキ死と生の証言 : 原爆被害者調査 / 日本原水爆被害者団体協議会編.-- 新日本出版社; 1994.6."</f>
        <v>ヒロシマ・ナガサキ死と生の証言 : 原爆被害者調査 / 日本原水爆被害者団体協議会編.-- 新日本出版社; 1994.6.</v>
      </c>
      <c r="E997" s="11" t="str">
        <f>""</f>
        <v/>
      </c>
      <c r="F997" s="28" t="s">
        <v>8</v>
      </c>
      <c r="G997" s="29" t="str">
        <f>"369.37/ﾆﾎ"</f>
        <v>369.37/ﾆﾎ</v>
      </c>
      <c r="H997" s="10" t="str">
        <f>"2002/03/25"</f>
        <v>2002/03/25</v>
      </c>
      <c r="I997" s="12">
        <v>5504</v>
      </c>
      <c r="J997" s="12">
        <v>100</v>
      </c>
      <c r="K997" s="10" t="str">
        <f t="shared" si="51"/>
        <v>1  和書</v>
      </c>
      <c r="L997" s="13"/>
    </row>
    <row r="998" spans="1:12" ht="24" x14ac:dyDescent="0.15">
      <c r="A998" s="36">
        <v>997</v>
      </c>
      <c r="B998" s="3" t="s">
        <v>45</v>
      </c>
      <c r="C998" s="10" t="str">
        <f>"0000832557"</f>
        <v>0000832557</v>
      </c>
      <c r="D998" s="11" t="str">
        <f>"学校を問う / 佐伯胖, 汐見稔幸, 佐藤学編.-- 東京大学出版会; 1992.7.-- (学校の再生をめざして / 佐伯胖, 汐見稔幸, 佐藤学編 ; 1)."</f>
        <v>学校を問う / 佐伯胖, 汐見稔幸, 佐藤学編.-- 東京大学出版会; 1992.7.-- (学校の再生をめざして / 佐伯胖, 汐見稔幸, 佐藤学編 ; 1).</v>
      </c>
      <c r="E998" s="11" t="str">
        <f>""</f>
        <v/>
      </c>
      <c r="F998" s="28" t="s">
        <v>8</v>
      </c>
      <c r="G998" s="29" t="str">
        <f>"370.4/ｻｴ/1"</f>
        <v>370.4/ｻｴ/1</v>
      </c>
      <c r="H998" s="10" t="str">
        <f>"1995/04/28"</f>
        <v>1995/04/28</v>
      </c>
      <c r="I998" s="12">
        <v>1854</v>
      </c>
      <c r="J998" s="12">
        <v>100</v>
      </c>
      <c r="K998" s="10" t="str">
        <f t="shared" si="51"/>
        <v>1  和書</v>
      </c>
      <c r="L998" s="13"/>
    </row>
    <row r="999" spans="1:12" ht="24" x14ac:dyDescent="0.15">
      <c r="A999" s="36">
        <v>998</v>
      </c>
      <c r="B999" s="3" t="s">
        <v>45</v>
      </c>
      <c r="C999" s="10" t="str">
        <f>"0000832564"</f>
        <v>0000832564</v>
      </c>
      <c r="D999" s="11" t="str">
        <f>"教室の改革 / 佐伯胖, 汐見稔幸, 佐藤学編.-- 東京大学出版会; 1992.7.-- (学校の再生をめざして / 佐伯胖, 汐見稔幸, 佐藤学編 ; 2)."</f>
        <v>教室の改革 / 佐伯胖, 汐見稔幸, 佐藤学編.-- 東京大学出版会; 1992.7.-- (学校の再生をめざして / 佐伯胖, 汐見稔幸, 佐藤学編 ; 2).</v>
      </c>
      <c r="E999" s="11" t="str">
        <f>""</f>
        <v/>
      </c>
      <c r="F999" s="28" t="s">
        <v>8</v>
      </c>
      <c r="G999" s="29" t="str">
        <f>"370.4/ｻｴ/2"</f>
        <v>370.4/ｻｴ/2</v>
      </c>
      <c r="H999" s="10" t="str">
        <f>"1995/04/28"</f>
        <v>1995/04/28</v>
      </c>
      <c r="I999" s="12">
        <v>1854</v>
      </c>
      <c r="J999" s="12">
        <v>100</v>
      </c>
      <c r="K999" s="10" t="str">
        <f t="shared" si="51"/>
        <v>1  和書</v>
      </c>
      <c r="L999" s="13"/>
    </row>
    <row r="1000" spans="1:12" ht="24" x14ac:dyDescent="0.15">
      <c r="A1000" s="36">
        <v>999</v>
      </c>
      <c r="B1000" s="3" t="s">
        <v>45</v>
      </c>
      <c r="C1000" s="10" t="str">
        <f>"0000832571"</f>
        <v>0000832571</v>
      </c>
      <c r="D1000" s="11" t="str">
        <f>"現代社会と学校 / 佐伯胖, 汐見稔幸, 佐藤学編.-- 東京大学出版会; 1992.9.-- (学校の再生をめざして / 佐伯胖, 汐見稔幸, 佐藤学編 ; 3)."</f>
        <v>現代社会と学校 / 佐伯胖, 汐見稔幸, 佐藤学編.-- 東京大学出版会; 1992.9.-- (学校の再生をめざして / 佐伯胖, 汐見稔幸, 佐藤学編 ; 3).</v>
      </c>
      <c r="E1000" s="11" t="str">
        <f>""</f>
        <v/>
      </c>
      <c r="F1000" s="28" t="s">
        <v>8</v>
      </c>
      <c r="G1000" s="29" t="str">
        <f>"370.4/ｻｴ/3"</f>
        <v>370.4/ｻｴ/3</v>
      </c>
      <c r="H1000" s="10" t="str">
        <f>"1995/04/28"</f>
        <v>1995/04/28</v>
      </c>
      <c r="I1000" s="12">
        <v>2060</v>
      </c>
      <c r="J1000" s="12">
        <v>100</v>
      </c>
      <c r="K1000" s="10" t="str">
        <f t="shared" si="51"/>
        <v>1  和書</v>
      </c>
      <c r="L1000" s="13"/>
    </row>
    <row r="1001" spans="1:12" ht="36" x14ac:dyDescent="0.15">
      <c r="A1001" s="36">
        <v>1000</v>
      </c>
      <c r="B1001" s="3" t="s">
        <v>45</v>
      </c>
      <c r="C1001" s="4" t="str">
        <f>"0000893954"</f>
        <v>0000893954</v>
      </c>
      <c r="D1001" s="5" t="str">
        <f>"Learning in humans and machines : towards an interdisciplinary learning science / edited by Peter Reimann and Hans Spada.-- 1st ed.-- Pergamon; 1996."</f>
        <v>Learning in humans and machines : towards an interdisciplinary learning science / edited by Peter Reimann and Hans Spada.-- 1st ed.-- Pergamon; 1996.</v>
      </c>
      <c r="E1001" s="5" t="str">
        <f>""</f>
        <v/>
      </c>
      <c r="F1001" s="26"/>
      <c r="G1001" s="27" t="str">
        <f>"371/LE"</f>
        <v>371/LE</v>
      </c>
      <c r="H1001" s="4" t="str">
        <f>"1996/01/24"</f>
        <v>1996/01/24</v>
      </c>
      <c r="I1001" s="6">
        <v>9885</v>
      </c>
      <c r="J1001" s="6">
        <v>100</v>
      </c>
      <c r="K1001" s="4" t="str">
        <f>"2  洋書"</f>
        <v>2  洋書</v>
      </c>
      <c r="L1001" s="7"/>
    </row>
    <row r="1002" spans="1:12" ht="24" x14ac:dyDescent="0.15">
      <c r="A1002" s="36">
        <v>1001</v>
      </c>
      <c r="B1002" s="3" t="s">
        <v>45</v>
      </c>
      <c r="C1002" s="4" t="str">
        <f>"0003258422"</f>
        <v>0003258422</v>
      </c>
      <c r="D1002" s="5" t="str">
        <f>"テスト・スタンダード : 日本のテストの将来に向けて / 日本テスト学会編.-- 金子書房; 2007.9."</f>
        <v>テスト・スタンダード : 日本のテストの将来に向けて / 日本テスト学会編.-- 金子書房; 2007.9.</v>
      </c>
      <c r="E1002" s="5" t="str">
        <f>""</f>
        <v/>
      </c>
      <c r="F1002" s="26"/>
      <c r="G1002" s="27" t="str">
        <f>"371.7/ﾆﾎ"</f>
        <v>371.7/ﾆﾎ</v>
      </c>
      <c r="H1002" s="4" t="str">
        <f>"2012/06/01"</f>
        <v>2012/06/01</v>
      </c>
      <c r="I1002" s="6">
        <v>4200</v>
      </c>
      <c r="J1002" s="6">
        <v>100</v>
      </c>
      <c r="K1002" s="4" t="str">
        <f t="shared" si="51"/>
        <v>1  和書</v>
      </c>
      <c r="L1002" s="7"/>
    </row>
    <row r="1003" spans="1:12" ht="24" x14ac:dyDescent="0.15">
      <c r="A1003" s="36">
        <v>1002</v>
      </c>
      <c r="B1003" s="3" t="s">
        <v>45</v>
      </c>
      <c r="C1003" s="10" t="str">
        <f>"0002511443"</f>
        <v>0002511443</v>
      </c>
      <c r="D1003" s="11" t="str">
        <f>"情報科教育法 / 岡本敏雄, 西野和典, 香山瑞恵編著.-- 丸善; 2002.3.-- (情報教育シリーズ)."</f>
        <v>情報科教育法 / 岡本敏雄, 西野和典, 香山瑞恵編著.-- 丸善; 2002.3.-- (情報教育シリーズ).</v>
      </c>
      <c r="E1003" s="11" t="str">
        <f>""</f>
        <v/>
      </c>
      <c r="F1003" s="28" t="s">
        <v>8</v>
      </c>
      <c r="G1003" s="29" t="str">
        <f>"375/ｵｶ"</f>
        <v>375/ｵｶ</v>
      </c>
      <c r="H1003" s="10" t="str">
        <f>"2002/10/09"</f>
        <v>2002/10/09</v>
      </c>
      <c r="I1003" s="12">
        <v>2416</v>
      </c>
      <c r="J1003" s="12">
        <v>100</v>
      </c>
      <c r="K1003" s="10" t="str">
        <f>"1  和書"</f>
        <v>1  和書</v>
      </c>
      <c r="L1003" s="13"/>
    </row>
    <row r="1004" spans="1:12" ht="24" x14ac:dyDescent="0.15">
      <c r="A1004" s="36">
        <v>1003</v>
      </c>
      <c r="B1004" s="3" t="s">
        <v>45</v>
      </c>
      <c r="C1004" s="4" t="str">
        <f>"0000434485"</f>
        <v>0000434485</v>
      </c>
      <c r="D1004" s="5" t="str">
        <f>"The computational infant : looking for developmental cognitive science / Julie C. Rutkowska ; : pbk.-- Harvester Wheatsheaf; 1993."</f>
        <v>The computational infant : looking for developmental cognitive science / Julie C. Rutkowska ; : pbk.-- Harvester Wheatsheaf; 1993.</v>
      </c>
      <c r="E1004" s="5" t="str">
        <f>": pbk"</f>
        <v>: pbk</v>
      </c>
      <c r="F1004" s="26"/>
      <c r="G1004" s="27" t="str">
        <f>"376.11/RU"</f>
        <v>376.11/RU</v>
      </c>
      <c r="H1004" s="4" t="str">
        <f>"1994/03/31"</f>
        <v>1994/03/31</v>
      </c>
      <c r="I1004" s="6">
        <v>2816</v>
      </c>
      <c r="J1004" s="6">
        <v>100</v>
      </c>
      <c r="K1004" s="4" t="str">
        <f>"2  洋書"</f>
        <v>2  洋書</v>
      </c>
      <c r="L1004" s="7"/>
    </row>
    <row r="1005" spans="1:12" ht="36" x14ac:dyDescent="0.15">
      <c r="A1005" s="36">
        <v>1004</v>
      </c>
      <c r="B1005" s="3" t="s">
        <v>45</v>
      </c>
      <c r="C1005" s="4" t="str">
        <f>"0000072038"</f>
        <v>0000072038</v>
      </c>
      <c r="D1005" s="5" t="str">
        <f>"乳幼児のことば相談 : 保育者の悩み、疑問、親の不安に答える赤ちゃんから入学前までのことばの子育てブックQ&amp;A / 幼児言語研究会編.-- 三省堂; 1987.8.-- (三省堂選書 ; 140)."</f>
        <v>乳幼児のことば相談 : 保育者の悩み、疑問、親の不安に答える赤ちゃんから入学前までのことばの子育てブックQ&amp;A / 幼児言語研究会編.-- 三省堂; 1987.8.-- (三省堂選書 ; 140).</v>
      </c>
      <c r="E1005" s="5" t="str">
        <f>""</f>
        <v/>
      </c>
      <c r="F1005" s="26"/>
      <c r="G1005" s="27" t="str">
        <f>"376.15/ﾖｳ"</f>
        <v>376.15/ﾖｳ</v>
      </c>
      <c r="H1005" s="4" t="str">
        <f>"1994/03/31"</f>
        <v>1994/03/31</v>
      </c>
      <c r="I1005" s="6">
        <v>1243</v>
      </c>
      <c r="J1005" s="6">
        <v>100</v>
      </c>
      <c r="K1005" s="4" t="str">
        <f t="shared" ref="K1005:K1041" si="52">"1  和書"</f>
        <v>1  和書</v>
      </c>
      <c r="L1005" s="7"/>
    </row>
    <row r="1006" spans="1:12" ht="24" x14ac:dyDescent="0.15">
      <c r="A1006" s="36">
        <v>1005</v>
      </c>
      <c r="B1006" s="3" t="s">
        <v>45</v>
      </c>
      <c r="C1006" s="4" t="str">
        <f>"0001289923"</f>
        <v>0001289923</v>
      </c>
      <c r="D1006" s="5" t="str">
        <f>"演習大学院入試問題 / 姫野俊一, F.S.マイヤース共著 ; 語学.-- サイエンス社; 1993.7."</f>
        <v>演習大学院入試問題 / 姫野俊一, F.S.マイヤース共著 ; 語学.-- サイエンス社; 1993.7.</v>
      </c>
      <c r="E1006" s="5" t="str">
        <f>"語学"</f>
        <v>語学</v>
      </c>
      <c r="F1006" s="26"/>
      <c r="G1006" s="27" t="str">
        <f>"376.8/ﾋﾒ"</f>
        <v>376.8/ﾋﾒ</v>
      </c>
      <c r="H1006" s="4" t="str">
        <f>"1997/05/01"</f>
        <v>1997/05/01</v>
      </c>
      <c r="I1006" s="6">
        <v>1606</v>
      </c>
      <c r="J1006" s="6">
        <v>100</v>
      </c>
      <c r="K1006" s="4" t="str">
        <f t="shared" si="52"/>
        <v>1  和書</v>
      </c>
      <c r="L1006" s="7"/>
    </row>
    <row r="1007" spans="1:12" ht="24" x14ac:dyDescent="0.15">
      <c r="A1007" s="36">
        <v>1006</v>
      </c>
      <c r="B1007" s="3" t="s">
        <v>45</v>
      </c>
      <c r="C1007" s="4" t="str">
        <f>"0001290165"</f>
        <v>0001290165</v>
      </c>
      <c r="D1007" s="5" t="str">
        <f>"大学院入試問題集 / 姫野俊一編 ; 理学系, 工学系.-- サイエンス社; 1995."</f>
        <v>大学院入試問題集 / 姫野俊一編 ; 理学系, 工学系.-- サイエンス社; 1995.</v>
      </c>
      <c r="E1007" s="5" t="str">
        <f>"工学系"</f>
        <v>工学系</v>
      </c>
      <c r="F1007" s="26"/>
      <c r="G1007" s="27" t="str">
        <f>"376.8/ﾋﾒ"</f>
        <v>376.8/ﾋﾒ</v>
      </c>
      <c r="H1007" s="4" t="str">
        <f>"1997/05/09"</f>
        <v>1997/05/09</v>
      </c>
      <c r="I1007" s="6">
        <v>3638</v>
      </c>
      <c r="J1007" s="6">
        <v>100</v>
      </c>
      <c r="K1007" s="4" t="str">
        <f t="shared" si="52"/>
        <v>1  和書</v>
      </c>
      <c r="L1007" s="7"/>
    </row>
    <row r="1008" spans="1:12" ht="24" x14ac:dyDescent="0.15">
      <c r="A1008" s="36">
        <v>1007</v>
      </c>
      <c r="B1008" s="3" t="s">
        <v>45</v>
      </c>
      <c r="C1008" s="4" t="str">
        <f>"0001289909"</f>
        <v>0001289909</v>
      </c>
      <c r="D1008" s="5" t="str">
        <f>"演習大学院入試問題 / 姫野俊一著 ; 数学編1 - 物理学2.-- サイエンス社; 1990.11-1992.9◆U200E◆."</f>
        <v>演習大学院入試問題 / 姫野俊一著 ; 数学編1 - 物理学2.-- サイエンス社; 1990.11-1992.9◆U200E◆.</v>
      </c>
      <c r="E1008" s="5" t="str">
        <f>"物理学1"</f>
        <v>物理学1</v>
      </c>
      <c r="F1008" s="26"/>
      <c r="G1008" s="27" t="str">
        <f>"376.8/ﾋﾒ/1"</f>
        <v>376.8/ﾋﾒ/1</v>
      </c>
      <c r="H1008" s="4" t="str">
        <f>"1997/05/01"</f>
        <v>1997/05/01</v>
      </c>
      <c r="I1008" s="6">
        <v>2740</v>
      </c>
      <c r="J1008" s="6">
        <v>100</v>
      </c>
      <c r="K1008" s="4" t="str">
        <f t="shared" si="52"/>
        <v>1  和書</v>
      </c>
      <c r="L1008" s="7"/>
    </row>
    <row r="1009" spans="1:12" ht="24" x14ac:dyDescent="0.15">
      <c r="A1009" s="36">
        <v>1008</v>
      </c>
      <c r="B1009" s="3" t="s">
        <v>45</v>
      </c>
      <c r="C1009" s="10" t="str">
        <f>"0000084253"</f>
        <v>0000084253</v>
      </c>
      <c r="D1009" s="11" t="str">
        <f>"演習大学院入試問題 / 姫野俊一著 ; 数学編1 - 物理学2.-- サイエンス社; 1990.11-1992.9◆U200E◆."</f>
        <v>演習大学院入試問題 / 姫野俊一著 ; 数学編1 - 物理学2.-- サイエンス社; 1990.11-1992.9◆U200E◆.</v>
      </c>
      <c r="E1009" s="11" t="str">
        <f>"物理学1"</f>
        <v>物理学1</v>
      </c>
      <c r="F1009" s="28" t="s">
        <v>8</v>
      </c>
      <c r="G1009" s="29" t="str">
        <f>"376.8ﾋﾒ1"</f>
        <v>376.8ﾋﾒ1</v>
      </c>
      <c r="H1009" s="10" t="str">
        <f>"1994/03/31"</f>
        <v>1994/03/31</v>
      </c>
      <c r="I1009" s="12">
        <v>2410</v>
      </c>
      <c r="J1009" s="12">
        <v>100</v>
      </c>
      <c r="K1009" s="10" t="str">
        <f t="shared" si="52"/>
        <v>1  和書</v>
      </c>
      <c r="L1009" s="13"/>
    </row>
    <row r="1010" spans="1:12" ht="24" x14ac:dyDescent="0.15">
      <c r="A1010" s="36">
        <v>1009</v>
      </c>
      <c r="B1010" s="3" t="s">
        <v>45</v>
      </c>
      <c r="C1010" s="4" t="str">
        <f>"0001289916"</f>
        <v>0001289916</v>
      </c>
      <c r="D1010" s="5" t="str">
        <f>"演習大学院入試問題 / 姫野俊一著 ; 数学編1 - 物理学2.-- サイエンス社; 1990.11-1992.9◆U200E◆."</f>
        <v>演習大学院入試問題 / 姫野俊一著 ; 数学編1 - 物理学2.-- サイエンス社; 1990.11-1992.9◆U200E◆.</v>
      </c>
      <c r="E1010" s="5" t="str">
        <f>"物理学2"</f>
        <v>物理学2</v>
      </c>
      <c r="F1010" s="26"/>
      <c r="G1010" s="27" t="str">
        <f>"376.8/ﾋﾒ/2"</f>
        <v>376.8/ﾋﾒ/2</v>
      </c>
      <c r="H1010" s="4" t="str">
        <f>"1997/05/01"</f>
        <v>1997/05/01</v>
      </c>
      <c r="I1010" s="6">
        <v>2740</v>
      </c>
      <c r="J1010" s="6">
        <v>100</v>
      </c>
      <c r="K1010" s="4" t="str">
        <f t="shared" si="52"/>
        <v>1  和書</v>
      </c>
      <c r="L1010" s="7"/>
    </row>
    <row r="1011" spans="1:12" ht="24" x14ac:dyDescent="0.15">
      <c r="A1011" s="36">
        <v>1010</v>
      </c>
      <c r="B1011" s="3" t="s">
        <v>45</v>
      </c>
      <c r="C1011" s="10" t="str">
        <f>"0002045276"</f>
        <v>0002045276</v>
      </c>
      <c r="D1011" s="11" t="str">
        <f>"「学問中心地」の研究 : 世界と日本にみる学問的生産性とその条件 / 有本章編.-- 東信堂; 1994.2."</f>
        <v>「学問中心地」の研究 : 世界と日本にみる学問的生産性とその条件 / 有本章編.-- 東信堂; 1994.2.</v>
      </c>
      <c r="E1011" s="11" t="str">
        <f>""</f>
        <v/>
      </c>
      <c r="F1011" s="28" t="s">
        <v>8</v>
      </c>
      <c r="G1011" s="29" t="str">
        <f>"377/ｱﾘ"</f>
        <v>377/ｱﾘ</v>
      </c>
      <c r="H1011" s="10" t="str">
        <f>"2000/02/08"</f>
        <v>2000/02/08</v>
      </c>
      <c r="I1011" s="12">
        <v>7355</v>
      </c>
      <c r="J1011" s="12">
        <v>100</v>
      </c>
      <c r="K1011" s="10" t="str">
        <f t="shared" si="52"/>
        <v>1  和書</v>
      </c>
      <c r="L1011" s="13"/>
    </row>
    <row r="1012" spans="1:12" ht="24" x14ac:dyDescent="0.15">
      <c r="A1012" s="36">
        <v>1011</v>
      </c>
      <c r="B1012" s="3" t="s">
        <v>45</v>
      </c>
      <c r="C1012" s="10" t="str">
        <f>"0002011790"</f>
        <v>0002011790</v>
      </c>
      <c r="D1012" s="11" t="str">
        <f>"大学院教育の研究 / バートン・クラーク編著 ; 潮木守一監訳.-- 東信堂; 1999.5."</f>
        <v>大学院教育の研究 / バートン・クラーク編著 ; 潮木守一監訳.-- 東信堂; 1999.5.</v>
      </c>
      <c r="E1012" s="11" t="str">
        <f>""</f>
        <v/>
      </c>
      <c r="F1012" s="28" t="s">
        <v>8</v>
      </c>
      <c r="G1012" s="29" t="str">
        <f>"377/ｸﾗ"</f>
        <v>377/ｸﾗ</v>
      </c>
      <c r="H1012" s="10" t="str">
        <f>"1999/03/31"</f>
        <v>1999/03/31</v>
      </c>
      <c r="I1012" s="12">
        <v>5080</v>
      </c>
      <c r="J1012" s="12">
        <v>100</v>
      </c>
      <c r="K1012" s="10" t="str">
        <f t="shared" si="52"/>
        <v>1  和書</v>
      </c>
      <c r="L1012" s="13"/>
    </row>
    <row r="1013" spans="1:12" ht="36" x14ac:dyDescent="0.15">
      <c r="A1013" s="36">
        <v>1012</v>
      </c>
      <c r="B1013" s="3" t="s">
        <v>45</v>
      </c>
      <c r="C1013" s="4" t="str">
        <f>"0002494357"</f>
        <v>0002494357</v>
      </c>
      <c r="D1013" s="5" t="str">
        <f>"学生参加型の大学授業 : 協同学習への実践ガイド / D.W. ジョンソン, R.T. ジョンソン, K.A. スミス著 ; 関田一彦監訳.-- 玉川大学出版部; 2001.12.-- (高等教育シリーズ ; 110)."</f>
        <v>学生参加型の大学授業 : 協同学習への実践ガイド / D.W. ジョンソン, R.T. ジョンソン, K.A. スミス著 ; 関田一彦監訳.-- 玉川大学出版部; 2001.12.-- (高等教育シリーズ ; 110).</v>
      </c>
      <c r="E1013" s="5" t="str">
        <f>""</f>
        <v/>
      </c>
      <c r="F1013" s="26"/>
      <c r="G1013" s="27" t="str">
        <f>"377.15/ｼﾞﾖ"</f>
        <v>377.15/ｼﾞﾖ</v>
      </c>
      <c r="H1013" s="4" t="str">
        <f>"2002/08/02"</f>
        <v>2002/08/02</v>
      </c>
      <c r="I1013" s="6">
        <v>3307</v>
      </c>
      <c r="J1013" s="6">
        <v>100</v>
      </c>
      <c r="K1013" s="4" t="str">
        <f t="shared" si="52"/>
        <v>1  和書</v>
      </c>
      <c r="L1013" s="7"/>
    </row>
    <row r="1014" spans="1:12" ht="24" x14ac:dyDescent="0.15">
      <c r="A1014" s="36">
        <v>1013</v>
      </c>
      <c r="B1014" s="3" t="s">
        <v>45</v>
      </c>
      <c r="C1014" s="10" t="str">
        <f>"0003049839"</f>
        <v>0003049839</v>
      </c>
      <c r="D1014" s="11" t="str">
        <f>"日本の産学連携 / 玉井克哉, 宮田由紀夫編著.-- 玉川大学出版部; 2007.5.-- (高等教育シリーズ ; 141)."</f>
        <v>日本の産学連携 / 玉井克哉, 宮田由紀夫編著.-- 玉川大学出版部; 2007.5.-- (高等教育シリーズ ; 141).</v>
      </c>
      <c r="E1014" s="11" t="str">
        <f>""</f>
        <v/>
      </c>
      <c r="F1014" s="28" t="s">
        <v>8</v>
      </c>
      <c r="G1014" s="29" t="str">
        <f>"377.21/ﾀﾏ"</f>
        <v>377.21/ﾀﾏ</v>
      </c>
      <c r="H1014" s="10" t="str">
        <f>"2009/05/26"</f>
        <v>2009/05/26</v>
      </c>
      <c r="I1014" s="12">
        <v>4252</v>
      </c>
      <c r="J1014" s="12">
        <v>100</v>
      </c>
      <c r="K1014" s="10" t="str">
        <f t="shared" si="52"/>
        <v>1  和書</v>
      </c>
      <c r="L1014" s="13"/>
    </row>
    <row r="1015" spans="1:12" ht="24" x14ac:dyDescent="0.15">
      <c r="A1015" s="36">
        <v>1014</v>
      </c>
      <c r="B1015" s="3" t="s">
        <v>46</v>
      </c>
      <c r="C1015" s="4" t="str">
        <f>"0000484008"</f>
        <v>0000484008</v>
      </c>
      <c r="D1015" s="5" t="str">
        <f>"柳田国男の読み方 : もうひとつの民俗学は可能か / 赤坂憲雄著.-- 筑摩書房; 1994.9.-- (ちくま新書 ; 007)."</f>
        <v>柳田国男の読み方 : もうひとつの民俗学は可能か / 赤坂憲雄著.-- 筑摩書房; 1994.9.-- (ちくま新書 ; 007).</v>
      </c>
      <c r="E1015" s="5" t="str">
        <f>""</f>
        <v/>
      </c>
      <c r="F1015" s="26"/>
      <c r="G1015" s="27" t="str">
        <f>"380.1/ｱｶ"</f>
        <v>380.1/ｱｶ</v>
      </c>
      <c r="H1015" s="4" t="str">
        <f>"1994/09/20"</f>
        <v>1994/09/20</v>
      </c>
      <c r="I1015" s="6">
        <v>612</v>
      </c>
      <c r="J1015" s="6">
        <v>100</v>
      </c>
      <c r="K1015" s="4" t="str">
        <f t="shared" si="52"/>
        <v>1  和書</v>
      </c>
      <c r="L1015" s="7"/>
    </row>
    <row r="1016" spans="1:12" ht="22.5" x14ac:dyDescent="0.15">
      <c r="A1016" s="36">
        <v>1015</v>
      </c>
      <c r="B1016" s="3" t="s">
        <v>46</v>
      </c>
      <c r="C1016" s="4" t="str">
        <f>"0001391121"</f>
        <v>0001391121</v>
      </c>
      <c r="D1016" s="5" t="str">
        <f>"現代民俗学入門 / 佐野賢治 [ほか] 編.-- 吉川弘文館; 1996.3."</f>
        <v>現代民俗学入門 / 佐野賢治 [ほか] 編.-- 吉川弘文館; 1996.3.</v>
      </c>
      <c r="E1016" s="5" t="str">
        <f>""</f>
        <v/>
      </c>
      <c r="F1016" s="26"/>
      <c r="G1016" s="27" t="str">
        <f>"380.1/ｻﾉ"</f>
        <v>380.1/ｻﾉ</v>
      </c>
      <c r="H1016" s="4" t="str">
        <f>"1998/01/15"</f>
        <v>1998/01/15</v>
      </c>
      <c r="I1016" s="6">
        <v>2362</v>
      </c>
      <c r="J1016" s="6">
        <v>100</v>
      </c>
      <c r="K1016" s="4" t="str">
        <f t="shared" si="52"/>
        <v>1  和書</v>
      </c>
      <c r="L1016" s="7"/>
    </row>
    <row r="1017" spans="1:12" ht="24" x14ac:dyDescent="0.15">
      <c r="A1017" s="36">
        <v>1016</v>
      </c>
      <c r="B1017" s="3" t="s">
        <v>46</v>
      </c>
      <c r="C1017" s="4" t="str">
        <f>"0001310016"</f>
        <v>0001310016</v>
      </c>
      <c r="D1017" s="5" t="str">
        <f>"Dictionary of mythology, folklore and symbols / by Gertrude Jobes ; pt. 1, pt. 2, pt. 3 : Index.-- Scarecrow Press; 1962, c1961-1962."</f>
        <v>Dictionary of mythology, folklore and symbols / by Gertrude Jobes ; pt. 1, pt. 2, pt. 3 : Index.-- Scarecrow Press; 1962, c1961-1962.</v>
      </c>
      <c r="E1017" s="5" t="str">
        <f>"pt. 1"</f>
        <v>pt. 1</v>
      </c>
      <c r="F1017" s="26"/>
      <c r="G1017" s="27" t="str">
        <f>"R380.3/JO/1"</f>
        <v>R380.3/JO/1</v>
      </c>
      <c r="H1017" s="4" t="str">
        <f>"1996/03/13"</f>
        <v>1996/03/13</v>
      </c>
      <c r="I1017" s="6">
        <v>5534</v>
      </c>
      <c r="J1017" s="6">
        <v>100</v>
      </c>
      <c r="K1017" s="4" t="str">
        <f>"2  洋書"</f>
        <v>2  洋書</v>
      </c>
      <c r="L1017" s="7"/>
    </row>
    <row r="1018" spans="1:12" ht="24" x14ac:dyDescent="0.15">
      <c r="A1018" s="36">
        <v>1017</v>
      </c>
      <c r="B1018" s="3" t="s">
        <v>46</v>
      </c>
      <c r="C1018" s="4" t="str">
        <f>"0001310030"</f>
        <v>0001310030</v>
      </c>
      <c r="D1018" s="5" t="str">
        <f>"Dictionary of mythology, folklore and symbols / by Gertrude Jobes ; pt. 1, pt. 2, pt. 3 : Index.-- Scarecrow Press; 1962, c1961-1962."</f>
        <v>Dictionary of mythology, folklore and symbols / by Gertrude Jobes ; pt. 1, pt. 2, pt. 3 : Index.-- Scarecrow Press; 1962, c1961-1962.</v>
      </c>
      <c r="E1018" s="5" t="str">
        <f>"pt. 2"</f>
        <v>pt. 2</v>
      </c>
      <c r="F1018" s="26"/>
      <c r="G1018" s="27" t="str">
        <f>"R380.3/JO/2"</f>
        <v>R380.3/JO/2</v>
      </c>
      <c r="H1018" s="4" t="str">
        <f>"1996/03/13"</f>
        <v>1996/03/13</v>
      </c>
      <c r="I1018" s="6">
        <v>5534</v>
      </c>
      <c r="J1018" s="6">
        <v>100</v>
      </c>
      <c r="K1018" s="4" t="str">
        <f>"2  洋書"</f>
        <v>2  洋書</v>
      </c>
      <c r="L1018" s="7"/>
    </row>
    <row r="1019" spans="1:12" ht="24" x14ac:dyDescent="0.15">
      <c r="A1019" s="36">
        <v>1018</v>
      </c>
      <c r="B1019" s="3" t="s">
        <v>46</v>
      </c>
      <c r="C1019" s="4" t="str">
        <f>"0001310023"</f>
        <v>0001310023</v>
      </c>
      <c r="D1019" s="5" t="str">
        <f>"Dictionary of mythology, folklore and symbols / by Gertrude Jobes ; pt. 1, pt. 2, pt. 3 : Index.-- Scarecrow Press; 1962, c1961-1962."</f>
        <v>Dictionary of mythology, folklore and symbols / by Gertrude Jobes ; pt. 1, pt. 2, pt. 3 : Index.-- Scarecrow Press; 1962, c1961-1962.</v>
      </c>
      <c r="E1019" s="5" t="str">
        <f>"pt. 3 : Index"</f>
        <v>pt. 3 : Index</v>
      </c>
      <c r="F1019" s="26"/>
      <c r="G1019" s="27" t="str">
        <f>"R380.3/JO/3"</f>
        <v>R380.3/JO/3</v>
      </c>
      <c r="H1019" s="4" t="str">
        <f>"1996/03/13"</f>
        <v>1996/03/13</v>
      </c>
      <c r="I1019" s="6">
        <v>5534</v>
      </c>
      <c r="J1019" s="6">
        <v>100</v>
      </c>
      <c r="K1019" s="4" t="str">
        <f>"2  洋書"</f>
        <v>2  洋書</v>
      </c>
      <c r="L1019" s="7"/>
    </row>
    <row r="1020" spans="1:12" ht="24" x14ac:dyDescent="0.15">
      <c r="A1020" s="36">
        <v>1019</v>
      </c>
      <c r="B1020" s="3" t="s">
        <v>46</v>
      </c>
      <c r="C1020" s="4" t="str">
        <f>"0002136462"</f>
        <v>0002136462</v>
      </c>
      <c r="D1020" s="5" t="str">
        <f>"日本民俗大辞典 / 福田アジオ [ほか] 編 ; 上: あ-そ, 下: た-わ・索引.-- 吉川弘文館; 1999.10-2000.4."</f>
        <v>日本民俗大辞典 / 福田アジオ [ほか] 編 ; 上: あ-そ, 下: た-わ・索引.-- 吉川弘文館; 1999.10-2000.4.</v>
      </c>
      <c r="E1020" s="5" t="str">
        <f>"上: あ-そ"</f>
        <v>上: あ-そ</v>
      </c>
      <c r="F1020" s="26"/>
      <c r="G1020" s="27" t="str">
        <f>"R380.33/ﾌｸ/1"</f>
        <v>R380.33/ﾌｸ/1</v>
      </c>
      <c r="H1020" s="4" t="str">
        <f>"2000/03/08"</f>
        <v>2000/03/08</v>
      </c>
      <c r="I1020" s="6">
        <v>17010</v>
      </c>
      <c r="J1020" s="8">
        <v>500</v>
      </c>
      <c r="K1020" s="4" t="str">
        <f t="shared" si="52"/>
        <v>1  和書</v>
      </c>
      <c r="L1020" s="7"/>
    </row>
    <row r="1021" spans="1:12" ht="24" x14ac:dyDescent="0.15">
      <c r="A1021" s="36">
        <v>1020</v>
      </c>
      <c r="B1021" s="3" t="s">
        <v>46</v>
      </c>
      <c r="C1021" s="4" t="str">
        <f>"0002165172"</f>
        <v>0002165172</v>
      </c>
      <c r="D1021" s="5" t="str">
        <f>"日本民俗大辞典 / 福田アジオ [ほか] 編 ; 上: あ-そ, 下: た-わ・索引.-- 吉川弘文館; 1999.10-2000.4."</f>
        <v>日本民俗大辞典 / 福田アジオ [ほか] 編 ; 上: あ-そ, 下: た-わ・索引.-- 吉川弘文館; 1999.10-2000.4.</v>
      </c>
      <c r="E1021" s="5" t="str">
        <f>"上: あ-そ"</f>
        <v>上: あ-そ</v>
      </c>
      <c r="F1021" s="26"/>
      <c r="G1021" s="27" t="str">
        <f>"R380.33/ﾌｸ/1"</f>
        <v>R380.33/ﾌｸ/1</v>
      </c>
      <c r="H1021" s="4" t="str">
        <f>"2000/08/10"</f>
        <v>2000/08/10</v>
      </c>
      <c r="I1021" s="6">
        <v>17010</v>
      </c>
      <c r="J1021" s="8">
        <v>500</v>
      </c>
      <c r="K1021" s="4" t="str">
        <f t="shared" si="52"/>
        <v>1  和書</v>
      </c>
      <c r="L1021" s="7"/>
    </row>
    <row r="1022" spans="1:12" ht="24" x14ac:dyDescent="0.15">
      <c r="A1022" s="36">
        <v>1021</v>
      </c>
      <c r="B1022" s="3" t="s">
        <v>46</v>
      </c>
      <c r="C1022" s="4" t="str">
        <f>"0002165165"</f>
        <v>0002165165</v>
      </c>
      <c r="D1022" s="5" t="str">
        <f>"日本民俗大辞典 / 福田アジオ [ほか] 編 ; 上: あ-そ, 下: た-わ・索引.-- 吉川弘文館; 1999.10-2000.4."</f>
        <v>日本民俗大辞典 / 福田アジオ [ほか] 編 ; 上: あ-そ, 下: た-わ・索引.-- 吉川弘文館; 1999.10-2000.4.</v>
      </c>
      <c r="E1022" s="5" t="str">
        <f>"下: た-わ・索引"</f>
        <v>下: た-わ・索引</v>
      </c>
      <c r="F1022" s="26"/>
      <c r="G1022" s="27" t="str">
        <f>"R380.33/ﾌｸ/2"</f>
        <v>R380.33/ﾌｸ/2</v>
      </c>
      <c r="H1022" s="4" t="str">
        <f>"2000/08/10"</f>
        <v>2000/08/10</v>
      </c>
      <c r="I1022" s="6">
        <v>17010</v>
      </c>
      <c r="J1022" s="8">
        <v>500</v>
      </c>
      <c r="K1022" s="4" t="str">
        <f t="shared" si="52"/>
        <v>1  和書</v>
      </c>
      <c r="L1022" s="7"/>
    </row>
    <row r="1023" spans="1:12" ht="24" x14ac:dyDescent="0.15">
      <c r="A1023" s="36">
        <v>1022</v>
      </c>
      <c r="B1023" s="3" t="s">
        <v>46</v>
      </c>
      <c r="C1023" s="4" t="str">
        <f>"0002466682"</f>
        <v>0002466682</v>
      </c>
      <c r="D1023" s="5" t="str">
        <f>"日本民俗大辞典 / 福田アジオ [ほか] 編 ; 上: あ-そ, 下: た-わ・索引.-- 吉川弘文館; 1999.10-2000.4."</f>
        <v>日本民俗大辞典 / 福田アジオ [ほか] 編 ; 上: あ-そ, 下: た-わ・索引.-- 吉川弘文館; 1999.10-2000.4.</v>
      </c>
      <c r="E1023" s="5" t="str">
        <f>"下: た-わ・索引"</f>
        <v>下: た-わ・索引</v>
      </c>
      <c r="F1023" s="26"/>
      <c r="G1023" s="27" t="str">
        <f>"R380.33/ﾌｸ/2"</f>
        <v>R380.33/ﾌｸ/2</v>
      </c>
      <c r="H1023" s="4" t="str">
        <f>"2001/11/08"</f>
        <v>2001/11/08</v>
      </c>
      <c r="I1023" s="6">
        <v>18900</v>
      </c>
      <c r="J1023" s="8">
        <v>500</v>
      </c>
      <c r="K1023" s="4" t="str">
        <f t="shared" si="52"/>
        <v>1  和書</v>
      </c>
      <c r="L1023" s="7"/>
    </row>
    <row r="1024" spans="1:12" ht="24" x14ac:dyDescent="0.15">
      <c r="A1024" s="36">
        <v>1023</v>
      </c>
      <c r="B1024" s="3" t="s">
        <v>46</v>
      </c>
      <c r="C1024" s="4" t="str">
        <f>"0002118987"</f>
        <v>0002118987</v>
      </c>
      <c r="D1024" s="5" t="str">
        <f>"フィールドワークの物語 : エスノグラフィーの文章作法 / ジョン・ヴァン=マーネン著 ; 森川渉訳.-- 現代書館; 1999.1."</f>
        <v>フィールドワークの物語 : エスノグラフィーの文章作法 / ジョン・ヴァン=マーネン著 ; 森川渉訳.-- 現代書館; 1999.1.</v>
      </c>
      <c r="E1024" s="5" t="str">
        <f>""</f>
        <v/>
      </c>
      <c r="F1024" s="26"/>
      <c r="G1024" s="27" t="str">
        <f>"380.7/ｳﾞｱ"</f>
        <v>380.7/ｳﾞｱ</v>
      </c>
      <c r="H1024" s="4" t="str">
        <f>"1999/10/15"</f>
        <v>1999/10/15</v>
      </c>
      <c r="I1024" s="6">
        <v>3024</v>
      </c>
      <c r="J1024" s="6">
        <v>100</v>
      </c>
      <c r="K1024" s="4" t="str">
        <f t="shared" si="52"/>
        <v>1  和書</v>
      </c>
      <c r="L1024" s="7"/>
    </row>
    <row r="1025" spans="1:12" ht="24" x14ac:dyDescent="0.15">
      <c r="A1025" s="36">
        <v>1024</v>
      </c>
      <c r="B1025" s="3" t="s">
        <v>46</v>
      </c>
      <c r="C1025" s="10" t="str">
        <f>"0002121994"</f>
        <v>0002121994</v>
      </c>
      <c r="D1025" s="11" t="str">
        <f>"民俗学の方法 / 福田アジオ, 小松和彦編集.-- 雄山閣出版; 1998.11.-- (講座日本の民俗学 / 赤田光男 [ほか] 編 ; 1)."</f>
        <v>民俗学の方法 / 福田アジオ, 小松和彦編集.-- 雄山閣出版; 1998.11.-- (講座日本の民俗学 / 赤田光男 [ほか] 編 ; 1).</v>
      </c>
      <c r="E1025" s="11" t="str">
        <f>""</f>
        <v/>
      </c>
      <c r="F1025" s="28" t="s">
        <v>8</v>
      </c>
      <c r="G1025" s="29" t="str">
        <f>"380.8/ｱｶ/1"</f>
        <v>380.8/ｱｶ/1</v>
      </c>
      <c r="H1025" s="10" t="str">
        <f>"1999/11/16"</f>
        <v>1999/11/16</v>
      </c>
      <c r="I1025" s="12">
        <v>4536</v>
      </c>
      <c r="J1025" s="12">
        <v>100</v>
      </c>
      <c r="K1025" s="10" t="str">
        <f t="shared" si="52"/>
        <v>1  和書</v>
      </c>
      <c r="L1025" s="13"/>
    </row>
    <row r="1026" spans="1:12" ht="24" x14ac:dyDescent="0.15">
      <c r="A1026" s="36">
        <v>1025</v>
      </c>
      <c r="B1026" s="3" t="s">
        <v>46</v>
      </c>
      <c r="C1026" s="10" t="str">
        <f>"0002465708"</f>
        <v>0002465708</v>
      </c>
      <c r="D1026" s="11" t="str">
        <f>"講集団の研究 / 櫻井徳太郎著.-- 吉川弘文館; 1988.7.-- (櫻井徳太郎著作集 / 櫻井徳太郎著 ; 第1巻)."</f>
        <v>講集団の研究 / 櫻井徳太郎著.-- 吉川弘文館; 1988.7.-- (櫻井徳太郎著作集 / 櫻井徳太郎著 ; 第1巻).</v>
      </c>
      <c r="E1026" s="11" t="str">
        <f>""</f>
        <v/>
      </c>
      <c r="F1026" s="28" t="s">
        <v>8</v>
      </c>
      <c r="G1026" s="29" t="str">
        <f>"380.8/ｻｸ/1"</f>
        <v>380.8/ｻｸ/1</v>
      </c>
      <c r="H1026" s="10" t="str">
        <f t="shared" ref="H1026:H1031" si="53">"2001/11/01"</f>
        <v>2001/11/01</v>
      </c>
      <c r="I1026" s="12">
        <v>6090</v>
      </c>
      <c r="J1026" s="12">
        <v>100</v>
      </c>
      <c r="K1026" s="10" t="str">
        <f t="shared" si="52"/>
        <v>1  和書</v>
      </c>
      <c r="L1026" s="13"/>
    </row>
    <row r="1027" spans="1:12" ht="36" x14ac:dyDescent="0.15">
      <c r="A1027" s="36">
        <v>1026</v>
      </c>
      <c r="B1027" s="3" t="s">
        <v>46</v>
      </c>
      <c r="C1027" s="10" t="str">
        <f>"0002465722"</f>
        <v>0002465722</v>
      </c>
      <c r="D1027" s="11" t="str">
        <f>"共同体の民俗規制 / 櫻井徳太郎著.-- 吉川弘文館; 1988.6.-- (櫻井徳太郎著作集 / 櫻井徳太郎著 ; 第3巻 . 民間信仰の研究||ミンカン シンコウ ノ ケンキュウ ; 上)."</f>
        <v>共同体の民俗規制 / 櫻井徳太郎著.-- 吉川弘文館; 1988.6.-- (櫻井徳太郎著作集 / 櫻井徳太郎著 ; 第3巻 . 民間信仰の研究||ミンカン シンコウ ノ ケンキュウ ; 上).</v>
      </c>
      <c r="E1027" s="11" t="str">
        <f>""</f>
        <v/>
      </c>
      <c r="F1027" s="28" t="s">
        <v>8</v>
      </c>
      <c r="G1027" s="29" t="str">
        <f>"380.8/ｻｸ/3"</f>
        <v>380.8/ｻｸ/3</v>
      </c>
      <c r="H1027" s="10" t="str">
        <f t="shared" si="53"/>
        <v>2001/11/01</v>
      </c>
      <c r="I1027" s="12">
        <v>6090</v>
      </c>
      <c r="J1027" s="12">
        <v>100</v>
      </c>
      <c r="K1027" s="10" t="str">
        <f t="shared" si="52"/>
        <v>1  和書</v>
      </c>
      <c r="L1027" s="13"/>
    </row>
    <row r="1028" spans="1:12" ht="36" x14ac:dyDescent="0.15">
      <c r="A1028" s="36">
        <v>1027</v>
      </c>
      <c r="B1028" s="3" t="s">
        <v>46</v>
      </c>
      <c r="C1028" s="10" t="str">
        <f>"0002465746"</f>
        <v>0002465746</v>
      </c>
      <c r="D1028" s="11" t="str">
        <f>"伝承と生態 / 櫻井徳太郎著.-- 吉川弘文館; 1988.1.-- (櫻井徳太郎著作集 / 櫻井徳太郎著 ; 第5巻 . 日本シャマニズムの研究||ニホン シャマニズム ノ ケンキュウ ; 上)."</f>
        <v>伝承と生態 / 櫻井徳太郎著.-- 吉川弘文館; 1988.1.-- (櫻井徳太郎著作集 / 櫻井徳太郎著 ; 第5巻 . 日本シャマニズムの研究||ニホン シャマニズム ノ ケンキュウ ; 上).</v>
      </c>
      <c r="E1028" s="11" t="str">
        <f>""</f>
        <v/>
      </c>
      <c r="F1028" s="28" t="s">
        <v>8</v>
      </c>
      <c r="G1028" s="29" t="str">
        <f>"380.8/ｻｸ/5"</f>
        <v>380.8/ｻｸ/5</v>
      </c>
      <c r="H1028" s="10" t="str">
        <f t="shared" si="53"/>
        <v>2001/11/01</v>
      </c>
      <c r="I1028" s="12">
        <v>6090</v>
      </c>
      <c r="J1028" s="12">
        <v>100</v>
      </c>
      <c r="K1028" s="10" t="str">
        <f t="shared" si="52"/>
        <v>1  和書</v>
      </c>
      <c r="L1028" s="13"/>
    </row>
    <row r="1029" spans="1:12" ht="36" x14ac:dyDescent="0.15">
      <c r="A1029" s="36">
        <v>1028</v>
      </c>
      <c r="B1029" s="3" t="s">
        <v>46</v>
      </c>
      <c r="C1029" s="10" t="str">
        <f>"0002465753"</f>
        <v>0002465753</v>
      </c>
      <c r="D1029" s="11" t="str">
        <f>"構造と機能 / 櫻井徳太郎著.-- 吉川弘文館; 1988.3.-- (櫻井徳太郎著作集 / 櫻井徳太郎著 ; 第6巻 . 日本シャマニズムの研究||ニホン シャマニズム ノ ケンキュウ ; 下)."</f>
        <v>構造と機能 / 櫻井徳太郎著.-- 吉川弘文館; 1988.3.-- (櫻井徳太郎著作集 / 櫻井徳太郎著 ; 第6巻 . 日本シャマニズムの研究||ニホン シャマニズム ノ ケンキュウ ; 下).</v>
      </c>
      <c r="E1029" s="11" t="str">
        <f>""</f>
        <v/>
      </c>
      <c r="F1029" s="28" t="s">
        <v>8</v>
      </c>
      <c r="G1029" s="29" t="str">
        <f>"380.8/ｻｸ/6"</f>
        <v>380.8/ｻｸ/6</v>
      </c>
      <c r="H1029" s="10" t="str">
        <f t="shared" si="53"/>
        <v>2001/11/01</v>
      </c>
      <c r="I1029" s="12">
        <v>6090</v>
      </c>
      <c r="J1029" s="12">
        <v>100</v>
      </c>
      <c r="K1029" s="10" t="str">
        <f t="shared" si="52"/>
        <v>1  和書</v>
      </c>
      <c r="L1029" s="13"/>
    </row>
    <row r="1030" spans="1:12" ht="24" x14ac:dyDescent="0.15">
      <c r="A1030" s="36">
        <v>1029</v>
      </c>
      <c r="B1030" s="3" t="s">
        <v>46</v>
      </c>
      <c r="C1030" s="10" t="str">
        <f>"0002465760"</f>
        <v>0002465760</v>
      </c>
      <c r="D1030" s="11" t="str">
        <f>"東アジアの民俗宗教 / 櫻井徳太郎著.-- 吉川弘文館; 1987.4.-- (櫻井徳太郎著作集 / 櫻井徳太郎著 ; 第7巻)."</f>
        <v>東アジアの民俗宗教 / 櫻井徳太郎著.-- 吉川弘文館; 1987.4.-- (櫻井徳太郎著作集 / 櫻井徳太郎著 ; 第7巻).</v>
      </c>
      <c r="E1030" s="11" t="str">
        <f>""</f>
        <v/>
      </c>
      <c r="F1030" s="28" t="s">
        <v>8</v>
      </c>
      <c r="G1030" s="29" t="str">
        <f>"380.8/ｻｸ/7"</f>
        <v>380.8/ｻｸ/7</v>
      </c>
      <c r="H1030" s="10" t="str">
        <f t="shared" si="53"/>
        <v>2001/11/01</v>
      </c>
      <c r="I1030" s="12">
        <v>6090</v>
      </c>
      <c r="J1030" s="12">
        <v>100</v>
      </c>
      <c r="K1030" s="10" t="str">
        <f t="shared" si="52"/>
        <v>1  和書</v>
      </c>
      <c r="L1030" s="13"/>
    </row>
    <row r="1031" spans="1:12" ht="24" x14ac:dyDescent="0.15">
      <c r="A1031" s="36">
        <v>1030</v>
      </c>
      <c r="B1031" s="3" t="s">
        <v>46</v>
      </c>
      <c r="C1031" s="10" t="str">
        <f>"0002465784"</f>
        <v>0002465784</v>
      </c>
      <c r="D1031" s="11" t="str">
        <f>"民俗儀礼の研究 / 櫻井徳太郎著.-- 吉川弘文館; 1987.11.-- (櫻井徳太郎著作集 / 櫻井徳太郎著 ; 第9巻)."</f>
        <v>民俗儀礼の研究 / 櫻井徳太郎著.-- 吉川弘文館; 1987.11.-- (櫻井徳太郎著作集 / 櫻井徳太郎著 ; 第9巻).</v>
      </c>
      <c r="E1031" s="11" t="str">
        <f>""</f>
        <v/>
      </c>
      <c r="F1031" s="28" t="s">
        <v>8</v>
      </c>
      <c r="G1031" s="29" t="str">
        <f>"380.8/ｻｸ/9"</f>
        <v>380.8/ｻｸ/9</v>
      </c>
      <c r="H1031" s="10" t="str">
        <f t="shared" si="53"/>
        <v>2001/11/01</v>
      </c>
      <c r="I1031" s="12">
        <v>6090</v>
      </c>
      <c r="J1031" s="12">
        <v>100</v>
      </c>
      <c r="K1031" s="10" t="str">
        <f t="shared" si="52"/>
        <v>1  和書</v>
      </c>
      <c r="L1031" s="13"/>
    </row>
    <row r="1032" spans="1:12" ht="24" x14ac:dyDescent="0.15">
      <c r="A1032" s="36">
        <v>1031</v>
      </c>
      <c r="B1032" s="3" t="s">
        <v>46</v>
      </c>
      <c r="C1032" s="10" t="str">
        <f>"0002468266"</f>
        <v>0002468266</v>
      </c>
      <c r="D1032" s="11" t="str">
        <f>"芸能伝承 / 和歌森太郎編集.-- 朝倉書店; 1976.7.-- (日本民俗学講座 / 和歌森太郎 [ほか] 編 ; 4)."</f>
        <v>芸能伝承 / 和歌森太郎編集.-- 朝倉書店; 1976.7.-- (日本民俗学講座 / 和歌森太郎 [ほか] 編 ; 4).</v>
      </c>
      <c r="E1032" s="11" t="str">
        <f>""</f>
        <v/>
      </c>
      <c r="F1032" s="28" t="s">
        <v>8</v>
      </c>
      <c r="G1032" s="29" t="str">
        <f>"380.8/ﾆﾎ/4"</f>
        <v>380.8/ﾆﾎ/4</v>
      </c>
      <c r="H1032" s="10" t="str">
        <f>"2001/11/20"</f>
        <v>2001/11/20</v>
      </c>
      <c r="I1032" s="12">
        <v>1000</v>
      </c>
      <c r="J1032" s="12">
        <v>100</v>
      </c>
      <c r="K1032" s="10" t="str">
        <f t="shared" si="52"/>
        <v>1  和書</v>
      </c>
      <c r="L1032" s="13"/>
    </row>
    <row r="1033" spans="1:12" ht="24" x14ac:dyDescent="0.15">
      <c r="A1033" s="36">
        <v>1032</v>
      </c>
      <c r="B1033" s="3" t="s">
        <v>46</v>
      </c>
      <c r="C1033" s="4" t="str">
        <f>"0000541022"</f>
        <v>0000541022</v>
      </c>
      <c r="D1033" s="5" t="str">
        <f>"とろし : 大阪府泉北[郡]取石村生活誌 / 宮本常一編著.-- 未來社; 1982.4.-- (宮本常一著作集 / 宮本常一著 ; 別集 1)."</f>
        <v>とろし : 大阪府泉北[郡]取石村生活誌 / 宮本常一編著.-- 未來社; 1982.4.-- (宮本常一著作集 / 宮本常一著 ; 別集 1).</v>
      </c>
      <c r="E1033" s="5" t="str">
        <f>""</f>
        <v/>
      </c>
      <c r="F1033" s="26"/>
      <c r="G1033" s="27" t="str">
        <f>"380.8/ﾐﾔ/1"</f>
        <v>380.8/ﾐﾔ/1</v>
      </c>
      <c r="H1033" s="4" t="str">
        <f>"1995/01/29"</f>
        <v>1995/01/29</v>
      </c>
      <c r="I1033" s="6">
        <v>3244</v>
      </c>
      <c r="J1033" s="6">
        <v>100</v>
      </c>
      <c r="K1033" s="4" t="str">
        <f t="shared" si="52"/>
        <v>1  和書</v>
      </c>
      <c r="L1033" s="7"/>
    </row>
    <row r="1034" spans="1:12" ht="22.5" x14ac:dyDescent="0.15">
      <c r="A1034" s="36">
        <v>1033</v>
      </c>
      <c r="B1034" s="3" t="s">
        <v>46</v>
      </c>
      <c r="C1034" s="4" t="str">
        <f>"0002915128"</f>
        <v>0002915128</v>
      </c>
      <c r="D1034" s="5" t="str">
        <f>"「悪口」という文化 / 山本幸司著.-- 平凡社; 2006.11."</f>
        <v>「悪口」という文化 / 山本幸司著.-- 平凡社; 2006.11.</v>
      </c>
      <c r="E1034" s="5" t="str">
        <f>""</f>
        <v/>
      </c>
      <c r="F1034" s="26"/>
      <c r="G1034" s="27" t="str">
        <f>"382/ﾔﾏ"</f>
        <v>382/ﾔﾏ</v>
      </c>
      <c r="H1034" s="4" t="str">
        <f>"2007/03/30"</f>
        <v>2007/03/30</v>
      </c>
      <c r="I1034" s="6">
        <v>2268</v>
      </c>
      <c r="J1034" s="6">
        <v>100</v>
      </c>
      <c r="K1034" s="4" t="str">
        <f t="shared" si="52"/>
        <v>1  和書</v>
      </c>
      <c r="L1034" s="7"/>
    </row>
    <row r="1035" spans="1:12" ht="24" x14ac:dyDescent="0.15">
      <c r="A1035" s="36">
        <v>1034</v>
      </c>
      <c r="B1035" s="3" t="s">
        <v>46</v>
      </c>
      <c r="C1035" s="4" t="str">
        <f>"0002692203"</f>
        <v>0002692203</v>
      </c>
      <c r="D1035" s="5" t="str">
        <f>"東西/南北考 : いくつもの日本へ / 赤坂憲雄著.-- 岩波書店; 2000.11.-- (岩波新書 ; 新赤版 700)."</f>
        <v>東西/南北考 : いくつもの日本へ / 赤坂憲雄著.-- 岩波書店; 2000.11.-- (岩波新書 ; 新赤版 700).</v>
      </c>
      <c r="E1035" s="5" t="str">
        <f>""</f>
        <v/>
      </c>
      <c r="F1035" s="26"/>
      <c r="G1035" s="27" t="str">
        <f>"382.1/ｱｶ"</f>
        <v>382.1/ｱｶ</v>
      </c>
      <c r="H1035" s="4" t="str">
        <f>"2005/09/05"</f>
        <v>2005/09/05</v>
      </c>
      <c r="I1035" s="6">
        <v>623</v>
      </c>
      <c r="J1035" s="6">
        <v>100</v>
      </c>
      <c r="K1035" s="4" t="str">
        <f t="shared" si="52"/>
        <v>1  和書</v>
      </c>
      <c r="L1035" s="7"/>
    </row>
    <row r="1036" spans="1:12" ht="24" x14ac:dyDescent="0.15">
      <c r="A1036" s="36">
        <v>1035</v>
      </c>
      <c r="B1036" s="3" t="s">
        <v>46</v>
      </c>
      <c r="C1036" s="4" t="str">
        <f>"0002455945"</f>
        <v>0002455945</v>
      </c>
      <c r="D1036" s="5" t="str">
        <f>"「民俗の知」の系譜 : 近代日本の民俗文化 / 川村邦光著.-- 昭和堂; 2000.5."</f>
        <v>「民俗の知」の系譜 : 近代日本の民俗文化 / 川村邦光著.-- 昭和堂; 2000.5.</v>
      </c>
      <c r="E1036" s="5" t="str">
        <f>""</f>
        <v/>
      </c>
      <c r="F1036" s="26"/>
      <c r="G1036" s="27" t="str">
        <f>"382.1/ｶﾜ"</f>
        <v>382.1/ｶﾜ</v>
      </c>
      <c r="H1036" s="4" t="str">
        <f>"2001/07/03"</f>
        <v>2001/07/03</v>
      </c>
      <c r="I1036" s="6">
        <v>2268</v>
      </c>
      <c r="J1036" s="6">
        <v>100</v>
      </c>
      <c r="K1036" s="4" t="str">
        <f t="shared" si="52"/>
        <v>1  和書</v>
      </c>
      <c r="L1036" s="7"/>
    </row>
    <row r="1037" spans="1:12" ht="22.5" x14ac:dyDescent="0.15">
      <c r="A1037" s="36">
        <v>1036</v>
      </c>
      <c r="B1037" s="3" t="s">
        <v>46</v>
      </c>
      <c r="C1037" s="4" t="str">
        <f>"0000509923"</f>
        <v>0000509923</v>
      </c>
      <c r="D1037" s="5" t="str">
        <f>"碧眼日本民俗図絵 / 吉村善太郎編著.-- 雄松堂出版; 1987.7."</f>
        <v>碧眼日本民俗図絵 / 吉村善太郎編著.-- 雄松堂出版; 1987.7.</v>
      </c>
      <c r="E1037" s="5" t="str">
        <f>""</f>
        <v/>
      </c>
      <c r="F1037" s="26"/>
      <c r="G1037" s="27" t="str">
        <f>"382.1/ﾖｼ"</f>
        <v>382.1/ﾖｼ</v>
      </c>
      <c r="H1037" s="4" t="str">
        <f>"1994/12/16"</f>
        <v>1994/12/16</v>
      </c>
      <c r="I1037" s="6">
        <v>8528</v>
      </c>
      <c r="J1037" s="6">
        <v>100</v>
      </c>
      <c r="K1037" s="4" t="str">
        <f t="shared" si="52"/>
        <v>1  和書</v>
      </c>
      <c r="L1037" s="7"/>
    </row>
    <row r="1038" spans="1:12" ht="24" x14ac:dyDescent="0.15">
      <c r="A1038" s="36">
        <v>1037</v>
      </c>
      <c r="B1038" s="3" t="s">
        <v>46</v>
      </c>
      <c r="C1038" s="4" t="str">
        <f>"0001137903"</f>
        <v>0001137903</v>
      </c>
      <c r="D1038" s="5" t="str">
        <f>"化粧 / 久下司著.-- 法政大学出版局; 1970.1.-- (ものと人間の文化史 ; 4)."</f>
        <v>化粧 / 久下司著.-- 法政大学出版局; 1970.1.-- (ものと人間の文化史 ; 4).</v>
      </c>
      <c r="E1038" s="5" t="str">
        <f>""</f>
        <v/>
      </c>
      <c r="F1038" s="26"/>
      <c r="G1038" s="27" t="str">
        <f>"383.5ｸｹﾞ"</f>
        <v>383.5ｸｹﾞ</v>
      </c>
      <c r="H1038" s="4" t="str">
        <f>"1996/03/29"</f>
        <v>1996/03/29</v>
      </c>
      <c r="I1038" s="6">
        <v>2262</v>
      </c>
      <c r="J1038" s="6">
        <v>100</v>
      </c>
      <c r="K1038" s="4" t="str">
        <f t="shared" si="52"/>
        <v>1  和書</v>
      </c>
      <c r="L1038" s="7"/>
    </row>
    <row r="1039" spans="1:12" ht="24" x14ac:dyDescent="0.15">
      <c r="A1039" s="36">
        <v>1038</v>
      </c>
      <c r="B1039" s="3" t="s">
        <v>46</v>
      </c>
      <c r="C1039" s="10" t="str">
        <f>"0002465166"</f>
        <v>0002465166</v>
      </c>
      <c r="D1039" s="11" t="str">
        <f>"児やらい : 産育の民俗 / 大藤ゆき著 ; 新装.-- 岩崎美術社; 1996.1.-- (民俗民芸双書)."</f>
        <v>児やらい : 産育の民俗 / 大藤ゆき著 ; 新装.-- 岩崎美術社; 1996.1.-- (民俗民芸双書).</v>
      </c>
      <c r="E1039" s="11" t="str">
        <f>"新装"</f>
        <v>新装</v>
      </c>
      <c r="F1039" s="28" t="s">
        <v>8</v>
      </c>
      <c r="G1039" s="29" t="str">
        <f>"385.2/ｵｵ"</f>
        <v>385.2/ｵｵ</v>
      </c>
      <c r="H1039" s="10" t="str">
        <f>"2001/10/26"</f>
        <v>2001/10/26</v>
      </c>
      <c r="I1039" s="12">
        <v>2000</v>
      </c>
      <c r="J1039" s="12">
        <v>100</v>
      </c>
      <c r="K1039" s="10" t="str">
        <f t="shared" si="52"/>
        <v>1  和書</v>
      </c>
      <c r="L1039" s="13"/>
    </row>
    <row r="1040" spans="1:12" ht="22.5" x14ac:dyDescent="0.15">
      <c r="A1040" s="36">
        <v>1039</v>
      </c>
      <c r="B1040" s="3" t="s">
        <v>46</v>
      </c>
      <c r="C1040" s="4" t="str">
        <f>"0002679976"</f>
        <v>0002679976</v>
      </c>
      <c r="D1040" s="5" t="str">
        <f>"クリスマスの文化史 / 若林ひとみ著.-- 白水社; 2004.12."</f>
        <v>クリスマスの文化史 / 若林ひとみ著.-- 白水社; 2004.12.</v>
      </c>
      <c r="E1040" s="5" t="str">
        <f>""</f>
        <v/>
      </c>
      <c r="F1040" s="26"/>
      <c r="G1040" s="27" t="str">
        <f>"386/ﾜｶ"</f>
        <v>386/ﾜｶ</v>
      </c>
      <c r="H1040" s="4" t="str">
        <f>"2005/02/03"</f>
        <v>2005/02/03</v>
      </c>
      <c r="I1040" s="6">
        <v>1701</v>
      </c>
      <c r="J1040" s="6">
        <v>100</v>
      </c>
      <c r="K1040" s="4" t="str">
        <f t="shared" si="52"/>
        <v>1  和書</v>
      </c>
      <c r="L1040" s="7"/>
    </row>
    <row r="1041" spans="1:12" ht="24" x14ac:dyDescent="0.15">
      <c r="A1041" s="36">
        <v>1040</v>
      </c>
      <c r="B1041" s="3" t="s">
        <v>46</v>
      </c>
      <c r="C1041" s="4" t="str">
        <f>"0000861168"</f>
        <v>0000861168</v>
      </c>
      <c r="D1041" s="5" t="str">
        <f>"英語迷信・俗信事典 / I・オウピー, M・テイタム編 ; 荒木正純, 大熊昭信, 中田元子訳.-- 大修館書店; 1994.8."</f>
        <v>英語迷信・俗信事典 / I・オウピー, M・テイタム編 ; 荒木正純, 大熊昭信, 中田元子訳.-- 大修館書店; 1994.8.</v>
      </c>
      <c r="E1041" s="5" t="str">
        <f>""</f>
        <v/>
      </c>
      <c r="F1041" s="26"/>
      <c r="G1041" s="27" t="str">
        <f>"R387/ｵｳ"</f>
        <v>R387/ｵｳ</v>
      </c>
      <c r="H1041" s="4" t="str">
        <f>"1995/07/17"</f>
        <v>1995/07/17</v>
      </c>
      <c r="I1041" s="6">
        <v>9270</v>
      </c>
      <c r="J1041" s="6">
        <v>100</v>
      </c>
      <c r="K1041" s="4" t="str">
        <f t="shared" si="52"/>
        <v>1  和書</v>
      </c>
      <c r="L1041" s="7"/>
    </row>
    <row r="1042" spans="1:12" ht="24" x14ac:dyDescent="0.15">
      <c r="A1042" s="36">
        <v>1041</v>
      </c>
      <c r="B1042" s="3" t="s">
        <v>46</v>
      </c>
      <c r="C1042" s="4" t="str">
        <f>"0001356267"</f>
        <v>0001356267</v>
      </c>
      <c r="D1042" s="5" t="str">
        <f>"ケルト神話と中世騎士物語 : 「他界」への旅と冒険 / 田中仁彦著.-- 中央公論社; 1995.7.-- (中公新書 ; 1254)."</f>
        <v>ケルト神話と中世騎士物語 : 「他界」への旅と冒険 / 田中仁彦著.-- 中央公論社; 1995.7.-- (中公新書 ; 1254).</v>
      </c>
      <c r="E1042" s="5" t="str">
        <f>""</f>
        <v/>
      </c>
      <c r="F1042" s="26"/>
      <c r="G1042" s="27" t="str">
        <f>"388.3/ﾀﾅ"</f>
        <v>388.3/ﾀﾅ</v>
      </c>
      <c r="H1042" s="4" t="str">
        <f>"1997/04/24"</f>
        <v>1997/04/24</v>
      </c>
      <c r="I1042" s="6">
        <v>678</v>
      </c>
      <c r="J1042" s="6">
        <v>100</v>
      </c>
      <c r="K1042" s="4" t="str">
        <f>"1  和書"</f>
        <v>1  和書</v>
      </c>
      <c r="L1042" s="7"/>
    </row>
    <row r="1043" spans="1:12" ht="24" x14ac:dyDescent="0.15">
      <c r="A1043" s="36">
        <v>1042</v>
      </c>
      <c r="B1043" s="3" t="s">
        <v>46</v>
      </c>
      <c r="C1043" s="4" t="str">
        <f>"0002459042"</f>
        <v>0002459042</v>
      </c>
      <c r="D1043" s="5" t="str">
        <f>"ケルトの神話・伝説 / フランク・ディレイニー著 ; 鶴岡真弓訳.-- 創元社; 2000.9."</f>
        <v>ケルトの神話・伝説 / フランク・ディレイニー著 ; 鶴岡真弓訳.-- 創元社; 2000.9.</v>
      </c>
      <c r="E1043" s="5" t="str">
        <f>""</f>
        <v/>
      </c>
      <c r="F1043" s="26"/>
      <c r="G1043" s="27" t="str">
        <f>"388.33/ﾃﾞｲ"</f>
        <v>388.33/ﾃﾞｲ</v>
      </c>
      <c r="H1043" s="4" t="str">
        <f>"2001/06/28"</f>
        <v>2001/06/28</v>
      </c>
      <c r="I1043" s="6">
        <v>2646</v>
      </c>
      <c r="J1043" s="6">
        <v>100</v>
      </c>
      <c r="K1043" s="4" t="str">
        <f>"1  和書"</f>
        <v>1  和書</v>
      </c>
      <c r="L1043" s="7"/>
    </row>
    <row r="1044" spans="1:12" ht="24" x14ac:dyDescent="0.15">
      <c r="A1044" s="36">
        <v>1043</v>
      </c>
      <c r="B1044" s="3" t="s">
        <v>46</v>
      </c>
      <c r="C1044" s="4" t="str">
        <f>"0000568401"</f>
        <v>0000568401</v>
      </c>
      <c r="D1044" s="5" t="str">
        <f>"イギリス伝承文学の世界 / 東浦義雄, 竹村恵都子著.-- 大修館書店; 1993.4."</f>
        <v>イギリス伝承文学の世界 / 東浦義雄, 竹村恵都子著.-- 大修館書店; 1993.4.</v>
      </c>
      <c r="E1044" s="5" t="str">
        <f>""</f>
        <v/>
      </c>
      <c r="F1044" s="26"/>
      <c r="G1044" s="27" t="str">
        <f>"388.33/ﾋｶﾞ"</f>
        <v>388.33/ﾋｶﾞ</v>
      </c>
      <c r="H1044" s="4" t="str">
        <f>"1995/03/31"</f>
        <v>1995/03/31</v>
      </c>
      <c r="I1044" s="6">
        <v>1674</v>
      </c>
      <c r="J1044" s="6">
        <v>100</v>
      </c>
      <c r="K1044" s="4" t="str">
        <f>"1  和書"</f>
        <v>1  和書</v>
      </c>
      <c r="L1044" s="7"/>
    </row>
    <row r="1045" spans="1:12" ht="60" x14ac:dyDescent="0.15">
      <c r="A1045" s="36">
        <v>1044</v>
      </c>
      <c r="B1045" s="3" t="s">
        <v>46</v>
      </c>
      <c r="C1045" s="4" t="str">
        <f>"0002683065"</f>
        <v>0002683065</v>
      </c>
      <c r="D1045" s="5" t="s">
        <v>47</v>
      </c>
      <c r="E1045" s="5" t="str">
        <f>"1"</f>
        <v>1</v>
      </c>
      <c r="F1045" s="26"/>
      <c r="G1045" s="27" t="str">
        <f>"388.33/GI/1"</f>
        <v>388.33/GI/1</v>
      </c>
      <c r="H1045" s="4" t="str">
        <f t="shared" ref="H1045:H1050" si="54">"2005/03/10"</f>
        <v>2005/03/10</v>
      </c>
      <c r="I1045" s="6">
        <v>20160</v>
      </c>
      <c r="J1045" s="8">
        <v>1000</v>
      </c>
      <c r="K1045" s="4" t="str">
        <f t="shared" ref="K1045:K1050" si="55">"2  洋書"</f>
        <v>2  洋書</v>
      </c>
      <c r="L1045" s="7"/>
    </row>
    <row r="1046" spans="1:12" ht="60" x14ac:dyDescent="0.15">
      <c r="A1046" s="36">
        <v>1045</v>
      </c>
      <c r="B1046" s="3" t="s">
        <v>46</v>
      </c>
      <c r="C1046" s="4" t="str">
        <f>"0002683072"</f>
        <v>0002683072</v>
      </c>
      <c r="D1046" s="5" t="s">
        <v>47</v>
      </c>
      <c r="E1046" s="5" t="str">
        <f>"2"</f>
        <v>2</v>
      </c>
      <c r="F1046" s="26"/>
      <c r="G1046" s="27" t="str">
        <f>"388.33/GI/2"</f>
        <v>388.33/GI/2</v>
      </c>
      <c r="H1046" s="4" t="str">
        <f t="shared" si="54"/>
        <v>2005/03/10</v>
      </c>
      <c r="I1046" s="6">
        <v>20160</v>
      </c>
      <c r="J1046" s="8">
        <v>1000</v>
      </c>
      <c r="K1046" s="4" t="str">
        <f t="shared" si="55"/>
        <v>2  洋書</v>
      </c>
      <c r="L1046" s="7"/>
    </row>
    <row r="1047" spans="1:12" ht="48" x14ac:dyDescent="0.15">
      <c r="A1047" s="36">
        <v>1046</v>
      </c>
      <c r="B1047" s="3" t="s">
        <v>46</v>
      </c>
      <c r="C1047" s="4" t="str">
        <f>"0002683089"</f>
        <v>0002683089</v>
      </c>
      <c r="D1047" s="5" t="s">
        <v>48</v>
      </c>
      <c r="E1047" s="5" t="str">
        <f>": Synapse : set"</f>
        <v>: Synapse : set</v>
      </c>
      <c r="F1047" s="26"/>
      <c r="G1047" s="27" t="str">
        <f>"388.33/GI/3"</f>
        <v>388.33/GI/3</v>
      </c>
      <c r="H1047" s="4" t="str">
        <f t="shared" si="54"/>
        <v>2005/03/10</v>
      </c>
      <c r="I1047" s="6">
        <v>20160</v>
      </c>
      <c r="J1047" s="8">
        <v>1000</v>
      </c>
      <c r="K1047" s="4" t="str">
        <f t="shared" si="55"/>
        <v>2  洋書</v>
      </c>
      <c r="L1047" s="7"/>
    </row>
    <row r="1048" spans="1:12" ht="48" x14ac:dyDescent="0.15">
      <c r="A1048" s="36">
        <v>1047</v>
      </c>
      <c r="B1048" s="3" t="s">
        <v>46</v>
      </c>
      <c r="C1048" s="4" t="str">
        <f>"0002683096"</f>
        <v>0002683096</v>
      </c>
      <c r="D1048" s="5" t="s">
        <v>49</v>
      </c>
      <c r="E1048" s="5" t="str">
        <f>": Synapse : set"</f>
        <v>: Synapse : set</v>
      </c>
      <c r="F1048" s="26"/>
      <c r="G1048" s="27" t="str">
        <f>"388.33/GI/4"</f>
        <v>388.33/GI/4</v>
      </c>
      <c r="H1048" s="4" t="str">
        <f t="shared" si="54"/>
        <v>2005/03/10</v>
      </c>
      <c r="I1048" s="6">
        <v>20160</v>
      </c>
      <c r="J1048" s="8">
        <v>1000</v>
      </c>
      <c r="K1048" s="4" t="str">
        <f t="shared" si="55"/>
        <v>2  洋書</v>
      </c>
      <c r="L1048" s="7"/>
    </row>
    <row r="1049" spans="1:12" ht="48" x14ac:dyDescent="0.15">
      <c r="A1049" s="36">
        <v>1048</v>
      </c>
      <c r="B1049" s="3" t="s">
        <v>46</v>
      </c>
      <c r="C1049" s="4" t="str">
        <f>"0002683102"</f>
        <v>0002683102</v>
      </c>
      <c r="D1049" s="5" t="s">
        <v>50</v>
      </c>
      <c r="E1049" s="5" t="str">
        <f>": Synapse : set"</f>
        <v>: Synapse : set</v>
      </c>
      <c r="F1049" s="26"/>
      <c r="G1049" s="27" t="str">
        <f>"388.33/GI/5"</f>
        <v>388.33/GI/5</v>
      </c>
      <c r="H1049" s="4" t="str">
        <f t="shared" si="54"/>
        <v>2005/03/10</v>
      </c>
      <c r="I1049" s="6">
        <v>20160</v>
      </c>
      <c r="J1049" s="8">
        <v>1000</v>
      </c>
      <c r="K1049" s="4" t="str">
        <f t="shared" si="55"/>
        <v>2  洋書</v>
      </c>
      <c r="L1049" s="7"/>
    </row>
    <row r="1050" spans="1:12" ht="60" x14ac:dyDescent="0.15">
      <c r="A1050" s="36">
        <v>1049</v>
      </c>
      <c r="B1050" s="3" t="s">
        <v>46</v>
      </c>
      <c r="C1050" s="4" t="str">
        <f>"0002683119"</f>
        <v>0002683119</v>
      </c>
      <c r="D1050" s="5" t="s">
        <v>51</v>
      </c>
      <c r="E1050" s="5" t="str">
        <f>": Synapse : set"</f>
        <v>: Synapse : set</v>
      </c>
      <c r="F1050" s="26"/>
      <c r="G1050" s="27" t="str">
        <f>"388.33/GI/6"</f>
        <v>388.33/GI/6</v>
      </c>
      <c r="H1050" s="4" t="str">
        <f t="shared" si="54"/>
        <v>2005/03/10</v>
      </c>
      <c r="I1050" s="6">
        <v>20160</v>
      </c>
      <c r="J1050" s="8">
        <v>1000</v>
      </c>
      <c r="K1050" s="4" t="str">
        <f t="shared" si="55"/>
        <v>2  洋書</v>
      </c>
      <c r="L1050" s="7"/>
    </row>
    <row r="1051" spans="1:12" ht="24" x14ac:dyDescent="0.15">
      <c r="A1051" s="36">
        <v>1050</v>
      </c>
      <c r="B1051" s="3" t="s">
        <v>46</v>
      </c>
      <c r="C1051" s="4" t="str">
        <f>"0002634272"</f>
        <v>0002634272</v>
      </c>
      <c r="D1051" s="5" t="str">
        <f>"ハンガリー民話集 / オルトゥタイ [編] ; 徳永康元 [ほか] 編訳.-- 岩波書店; 1996.1.-- (岩波文庫 ; 赤-776-1, (32)-776-1)."</f>
        <v>ハンガリー民話集 / オルトゥタイ [編] ; 徳永康元 [ほか] 編訳.-- 岩波書店; 1996.1.-- (岩波文庫 ; 赤-776-1, (32)-776-1).</v>
      </c>
      <c r="E1051" s="5" t="str">
        <f>""</f>
        <v/>
      </c>
      <c r="F1051" s="26"/>
      <c r="G1051" s="27" t="str">
        <f>"388.34/ｵﾙ"</f>
        <v>388.34/ｵﾙ</v>
      </c>
      <c r="H1051" s="4" t="str">
        <f>"2003/06/20"</f>
        <v>2003/06/20</v>
      </c>
      <c r="I1051" s="6">
        <v>718</v>
      </c>
      <c r="J1051" s="6">
        <v>100</v>
      </c>
      <c r="K1051" s="4" t="str">
        <f>"1  和書"</f>
        <v>1  和書</v>
      </c>
      <c r="L1051" s="7"/>
    </row>
    <row r="1052" spans="1:12" ht="24" x14ac:dyDescent="0.15">
      <c r="A1052" s="36">
        <v>1051</v>
      </c>
      <c r="B1052" s="3" t="s">
        <v>52</v>
      </c>
      <c r="C1052" s="4" t="str">
        <f>"0000890427"</f>
        <v>0000890427</v>
      </c>
      <c r="D1052" s="5" t="str">
        <f>"海洋民族学 : 海のナチュラリストたち / 秋道智彌著.-- 東京大学出版会; 1995.11."</f>
        <v>海洋民族学 : 海のナチュラリストたち / 秋道智彌著.-- 東京大学出版会; 1995.11.</v>
      </c>
      <c r="E1052" s="5" t="str">
        <f>""</f>
        <v/>
      </c>
      <c r="F1052" s="26"/>
      <c r="G1052" s="27" t="str">
        <f>"389/ｱｷ"</f>
        <v>389/ｱｷ</v>
      </c>
      <c r="H1052" s="4" t="str">
        <f>"1996/01/12"</f>
        <v>1996/01/12</v>
      </c>
      <c r="I1052" s="6">
        <v>3522</v>
      </c>
      <c r="J1052" s="6">
        <v>100</v>
      </c>
      <c r="K1052" s="4" t="str">
        <f t="shared" ref="K1052:K1074" si="56">"1  和書"</f>
        <v>1  和書</v>
      </c>
      <c r="L1052" s="7"/>
    </row>
    <row r="1053" spans="1:12" ht="24" x14ac:dyDescent="0.15">
      <c r="A1053" s="36">
        <v>1052</v>
      </c>
      <c r="B1053" s="3" t="s">
        <v>52</v>
      </c>
      <c r="C1053" s="4" t="str">
        <f>"0000562102"</f>
        <v>0000562102</v>
      </c>
      <c r="D1053" s="5" t="str">
        <f>"異次元交換の政治人類学 : 人類学的思考とはなにか / 嶋田義仁著.-- 勁草書房; 1993.10."</f>
        <v>異次元交換の政治人類学 : 人類学的思考とはなにか / 嶋田義仁著.-- 勁草書房; 1993.10.</v>
      </c>
      <c r="E1053" s="5" t="str">
        <f>""</f>
        <v/>
      </c>
      <c r="F1053" s="26"/>
      <c r="G1053" s="27" t="str">
        <f>"389/ｼﾏ"</f>
        <v>389/ｼﾏ</v>
      </c>
      <c r="H1053" s="4" t="str">
        <f>"1995/03/31"</f>
        <v>1995/03/31</v>
      </c>
      <c r="I1053" s="6">
        <v>3349</v>
      </c>
      <c r="J1053" s="6">
        <v>100</v>
      </c>
      <c r="K1053" s="4" t="str">
        <f t="shared" si="56"/>
        <v>1  和書</v>
      </c>
      <c r="L1053" s="7"/>
    </row>
    <row r="1054" spans="1:12" ht="24" x14ac:dyDescent="0.15">
      <c r="A1054" s="36">
        <v>1053</v>
      </c>
      <c r="B1054" s="3" t="s">
        <v>52</v>
      </c>
      <c r="C1054" s="4" t="str">
        <f>"0000585705"</f>
        <v>0000585705</v>
      </c>
      <c r="D1054" s="5" t="str">
        <f>"異次元交換の政治人類学 : 人類学的思考とはなにか / 嶋田義仁著.-- 勁草書房; 1993.10."</f>
        <v>異次元交換の政治人類学 : 人類学的思考とはなにか / 嶋田義仁著.-- 勁草書房; 1993.10.</v>
      </c>
      <c r="E1054" s="5" t="str">
        <f>""</f>
        <v/>
      </c>
      <c r="F1054" s="26"/>
      <c r="G1054" s="27" t="str">
        <f>"389/ｼﾏ"</f>
        <v>389/ｼﾏ</v>
      </c>
      <c r="H1054" s="4" t="str">
        <f>"1995/03/31"</f>
        <v>1995/03/31</v>
      </c>
      <c r="I1054" s="6">
        <v>3349</v>
      </c>
      <c r="J1054" s="6">
        <v>100</v>
      </c>
      <c r="K1054" s="4" t="str">
        <f t="shared" si="56"/>
        <v>1  和書</v>
      </c>
      <c r="L1054" s="7"/>
    </row>
    <row r="1055" spans="1:12" ht="22.5" x14ac:dyDescent="0.15">
      <c r="A1055" s="36">
        <v>1054</v>
      </c>
      <c r="B1055" s="3" t="s">
        <v>52</v>
      </c>
      <c r="C1055" s="4" t="str">
        <f>"0000607070"</f>
        <v>0000607070</v>
      </c>
      <c r="D1055" s="5" t="str">
        <f>"世界の民 : 光と影 / 信濃毎日新聞社編 ; 上, 下.-- 明石書店; 1993.7."</f>
        <v>世界の民 : 光と影 / 信濃毎日新聞社編 ; 上, 下.-- 明石書店; 1993.7.</v>
      </c>
      <c r="E1055" s="5" t="str">
        <f>"下"</f>
        <v>下</v>
      </c>
      <c r="F1055" s="26"/>
      <c r="G1055" s="27" t="str">
        <f>"389/ｾｶ/2"</f>
        <v>389/ｾｶ/2</v>
      </c>
      <c r="H1055" s="4" t="str">
        <f>"1995/03/31"</f>
        <v>1995/03/31</v>
      </c>
      <c r="I1055" s="6">
        <v>2385</v>
      </c>
      <c r="J1055" s="6">
        <v>100</v>
      </c>
      <c r="K1055" s="4" t="str">
        <f t="shared" si="56"/>
        <v>1  和書</v>
      </c>
      <c r="L1055" s="7"/>
    </row>
    <row r="1056" spans="1:12" ht="36" x14ac:dyDescent="0.15">
      <c r="A1056" s="36">
        <v>1055</v>
      </c>
      <c r="B1056" s="3" t="s">
        <v>52</v>
      </c>
      <c r="C1056" s="10" t="str">
        <f>"0001327366"</f>
        <v>0001327366</v>
      </c>
      <c r="D1056" s="11" t="str">
        <f t="shared" ref="D1056:D1063" si="57">"Encyclopedia of cultural anthropology / editors, David Levinson, Melvin Ember ; v. 1. A-D - v. 4. S-Z, Appendix, Index.-- 1st ed.-- Henry Holt; 1996.-- (A Henry Holt reference book)."</f>
        <v>Encyclopedia of cultural anthropology / editors, David Levinson, Melvin Ember ; v. 1. A-D - v. 4. S-Z, Appendix, Index.-- 1st ed.-- Henry Holt; 1996.-- (A Henry Holt reference book).</v>
      </c>
      <c r="E1056" s="11" t="str">
        <f>"v. 1. A-D"</f>
        <v>v. 1. A-D</v>
      </c>
      <c r="F1056" s="28" t="s">
        <v>8</v>
      </c>
      <c r="G1056" s="29" t="str">
        <f>"389.03/LE/1"</f>
        <v>389.03/LE/1</v>
      </c>
      <c r="H1056" s="10" t="str">
        <f>"1996/07/15"</f>
        <v>1996/07/15</v>
      </c>
      <c r="I1056" s="12">
        <v>12952</v>
      </c>
      <c r="J1056" s="14">
        <v>500</v>
      </c>
      <c r="K1056" s="10" t="str">
        <f t="shared" ref="K1056:K1063" si="58">"2  洋書"</f>
        <v>2  洋書</v>
      </c>
      <c r="L1056" s="13"/>
    </row>
    <row r="1057" spans="1:12" ht="36" x14ac:dyDescent="0.15">
      <c r="A1057" s="36">
        <v>1056</v>
      </c>
      <c r="B1057" s="3" t="s">
        <v>52</v>
      </c>
      <c r="C1057" s="10" t="str">
        <f>"0001331189"</f>
        <v>0001331189</v>
      </c>
      <c r="D1057" s="11" t="str">
        <f t="shared" si="57"/>
        <v>Encyclopedia of cultural anthropology / editors, David Levinson, Melvin Ember ; v. 1. A-D - v. 4. S-Z, Appendix, Index.-- 1st ed.-- Henry Holt; 1996.-- (A Henry Holt reference book).</v>
      </c>
      <c r="E1057" s="11" t="str">
        <f>"v. 1. A-D"</f>
        <v>v. 1. A-D</v>
      </c>
      <c r="F1057" s="28" t="s">
        <v>8</v>
      </c>
      <c r="G1057" s="29" t="str">
        <f>"389.03/LE/1"</f>
        <v>389.03/LE/1</v>
      </c>
      <c r="H1057" s="10" t="str">
        <f>"1996/08/01"</f>
        <v>1996/08/01</v>
      </c>
      <c r="I1057" s="12">
        <v>12637</v>
      </c>
      <c r="J1057" s="14">
        <v>500</v>
      </c>
      <c r="K1057" s="10" t="str">
        <f t="shared" si="58"/>
        <v>2  洋書</v>
      </c>
      <c r="L1057" s="13"/>
    </row>
    <row r="1058" spans="1:12" ht="36" x14ac:dyDescent="0.15">
      <c r="A1058" s="36">
        <v>1057</v>
      </c>
      <c r="B1058" s="3" t="s">
        <v>52</v>
      </c>
      <c r="C1058" s="10" t="str">
        <f>"0001327373"</f>
        <v>0001327373</v>
      </c>
      <c r="D1058" s="11" t="str">
        <f t="shared" si="57"/>
        <v>Encyclopedia of cultural anthropology / editors, David Levinson, Melvin Ember ; v. 1. A-D - v. 4. S-Z, Appendix, Index.-- 1st ed.-- Henry Holt; 1996.-- (A Henry Holt reference book).</v>
      </c>
      <c r="E1058" s="11" t="str">
        <f>"v. 2. E-L"</f>
        <v>v. 2. E-L</v>
      </c>
      <c r="F1058" s="28" t="s">
        <v>8</v>
      </c>
      <c r="G1058" s="29" t="str">
        <f>"389.03/LE/2"</f>
        <v>389.03/LE/2</v>
      </c>
      <c r="H1058" s="10" t="str">
        <f>"1996/07/15"</f>
        <v>1996/07/15</v>
      </c>
      <c r="I1058" s="12">
        <v>12952</v>
      </c>
      <c r="J1058" s="14">
        <v>500</v>
      </c>
      <c r="K1058" s="10" t="str">
        <f t="shared" si="58"/>
        <v>2  洋書</v>
      </c>
      <c r="L1058" s="13"/>
    </row>
    <row r="1059" spans="1:12" ht="36" x14ac:dyDescent="0.15">
      <c r="A1059" s="36">
        <v>1058</v>
      </c>
      <c r="B1059" s="3" t="s">
        <v>52</v>
      </c>
      <c r="C1059" s="10" t="str">
        <f>"0001331196"</f>
        <v>0001331196</v>
      </c>
      <c r="D1059" s="11" t="str">
        <f t="shared" si="57"/>
        <v>Encyclopedia of cultural anthropology / editors, David Levinson, Melvin Ember ; v. 1. A-D - v. 4. S-Z, Appendix, Index.-- 1st ed.-- Henry Holt; 1996.-- (A Henry Holt reference book).</v>
      </c>
      <c r="E1059" s="11" t="str">
        <f>"v. 2. E-L"</f>
        <v>v. 2. E-L</v>
      </c>
      <c r="F1059" s="28" t="s">
        <v>8</v>
      </c>
      <c r="G1059" s="29" t="str">
        <f>"389.03/LE/2"</f>
        <v>389.03/LE/2</v>
      </c>
      <c r="H1059" s="10" t="str">
        <f>"1996/08/01"</f>
        <v>1996/08/01</v>
      </c>
      <c r="I1059" s="12">
        <v>12637</v>
      </c>
      <c r="J1059" s="14">
        <v>500</v>
      </c>
      <c r="K1059" s="10" t="str">
        <f t="shared" si="58"/>
        <v>2  洋書</v>
      </c>
      <c r="L1059" s="13"/>
    </row>
    <row r="1060" spans="1:12" ht="36" x14ac:dyDescent="0.15">
      <c r="A1060" s="36">
        <v>1059</v>
      </c>
      <c r="B1060" s="3" t="s">
        <v>52</v>
      </c>
      <c r="C1060" s="10" t="str">
        <f>"0001327380"</f>
        <v>0001327380</v>
      </c>
      <c r="D1060" s="11" t="str">
        <f t="shared" si="57"/>
        <v>Encyclopedia of cultural anthropology / editors, David Levinson, Melvin Ember ; v. 1. A-D - v. 4. S-Z, Appendix, Index.-- 1st ed.-- Henry Holt; 1996.-- (A Henry Holt reference book).</v>
      </c>
      <c r="E1060" s="11" t="str">
        <f>"v. 3. M-R"</f>
        <v>v. 3. M-R</v>
      </c>
      <c r="F1060" s="28" t="s">
        <v>8</v>
      </c>
      <c r="G1060" s="29" t="str">
        <f>"389.03/LE/3"</f>
        <v>389.03/LE/3</v>
      </c>
      <c r="H1060" s="10" t="str">
        <f>"1996/07/15"</f>
        <v>1996/07/15</v>
      </c>
      <c r="I1060" s="12">
        <v>12953</v>
      </c>
      <c r="J1060" s="14">
        <v>500</v>
      </c>
      <c r="K1060" s="10" t="str">
        <f t="shared" si="58"/>
        <v>2  洋書</v>
      </c>
      <c r="L1060" s="13"/>
    </row>
    <row r="1061" spans="1:12" ht="36" x14ac:dyDescent="0.15">
      <c r="A1061" s="36">
        <v>1060</v>
      </c>
      <c r="B1061" s="3" t="s">
        <v>52</v>
      </c>
      <c r="C1061" s="10" t="str">
        <f>"0001331202"</f>
        <v>0001331202</v>
      </c>
      <c r="D1061" s="11" t="str">
        <f t="shared" si="57"/>
        <v>Encyclopedia of cultural anthropology / editors, David Levinson, Melvin Ember ; v. 1. A-D - v. 4. S-Z, Appendix, Index.-- 1st ed.-- Henry Holt; 1996.-- (A Henry Holt reference book).</v>
      </c>
      <c r="E1061" s="11" t="str">
        <f>"v. 3. M-R"</f>
        <v>v. 3. M-R</v>
      </c>
      <c r="F1061" s="28" t="s">
        <v>8</v>
      </c>
      <c r="G1061" s="29" t="str">
        <f>"389.03/LE/3"</f>
        <v>389.03/LE/3</v>
      </c>
      <c r="H1061" s="10" t="str">
        <f>"1996/08/01"</f>
        <v>1996/08/01</v>
      </c>
      <c r="I1061" s="12">
        <v>12637</v>
      </c>
      <c r="J1061" s="14">
        <v>500</v>
      </c>
      <c r="K1061" s="10" t="str">
        <f t="shared" si="58"/>
        <v>2  洋書</v>
      </c>
      <c r="L1061" s="13"/>
    </row>
    <row r="1062" spans="1:12" ht="36" x14ac:dyDescent="0.15">
      <c r="A1062" s="36">
        <v>1061</v>
      </c>
      <c r="B1062" s="3" t="s">
        <v>52</v>
      </c>
      <c r="C1062" s="10" t="str">
        <f>"0001327397"</f>
        <v>0001327397</v>
      </c>
      <c r="D1062" s="11" t="str">
        <f t="shared" si="57"/>
        <v>Encyclopedia of cultural anthropology / editors, David Levinson, Melvin Ember ; v. 1. A-D - v. 4. S-Z, Appendix, Index.-- 1st ed.-- Henry Holt; 1996.-- (A Henry Holt reference book).</v>
      </c>
      <c r="E1062" s="11" t="str">
        <f>"v. 4. S-Z, Appendix, Index"</f>
        <v>v. 4. S-Z, Appendix, Index</v>
      </c>
      <c r="F1062" s="28" t="s">
        <v>8</v>
      </c>
      <c r="G1062" s="29" t="str">
        <f>"389.03/LE/4"</f>
        <v>389.03/LE/4</v>
      </c>
      <c r="H1062" s="10" t="str">
        <f>"1996/07/15"</f>
        <v>1996/07/15</v>
      </c>
      <c r="I1062" s="12">
        <v>12953</v>
      </c>
      <c r="J1062" s="14">
        <v>500</v>
      </c>
      <c r="K1062" s="10" t="str">
        <f t="shared" si="58"/>
        <v>2  洋書</v>
      </c>
      <c r="L1062" s="13"/>
    </row>
    <row r="1063" spans="1:12" ht="36" x14ac:dyDescent="0.15">
      <c r="A1063" s="36">
        <v>1062</v>
      </c>
      <c r="B1063" s="3" t="s">
        <v>52</v>
      </c>
      <c r="C1063" s="10" t="str">
        <f>"0001331219"</f>
        <v>0001331219</v>
      </c>
      <c r="D1063" s="11" t="str">
        <f t="shared" si="57"/>
        <v>Encyclopedia of cultural anthropology / editors, David Levinson, Melvin Ember ; v. 1. A-D - v. 4. S-Z, Appendix, Index.-- 1st ed.-- Henry Holt; 1996.-- (A Henry Holt reference book).</v>
      </c>
      <c r="E1063" s="11" t="str">
        <f>"v. 4. S-Z, Appendix, Index"</f>
        <v>v. 4. S-Z, Appendix, Index</v>
      </c>
      <c r="F1063" s="28" t="s">
        <v>8</v>
      </c>
      <c r="G1063" s="29" t="str">
        <f>"389.03/LE/4"</f>
        <v>389.03/LE/4</v>
      </c>
      <c r="H1063" s="10" t="str">
        <f>"1996/08/01"</f>
        <v>1996/08/01</v>
      </c>
      <c r="I1063" s="12">
        <v>12638</v>
      </c>
      <c r="J1063" s="14">
        <v>500</v>
      </c>
      <c r="K1063" s="10" t="str">
        <f t="shared" si="58"/>
        <v>2  洋書</v>
      </c>
      <c r="L1063" s="13"/>
    </row>
    <row r="1064" spans="1:12" ht="24" x14ac:dyDescent="0.15">
      <c r="A1064" s="36">
        <v>1063</v>
      </c>
      <c r="B1064" s="3" t="s">
        <v>52</v>
      </c>
      <c r="C1064" s="4" t="str">
        <f>"0002103945"</f>
        <v>0002103945</v>
      </c>
      <c r="D1064" s="5" t="str">
        <f>"しぐさの世界 : 身体表現の民族学 / 野村雅一著.-- 日本放送出版協会; 1983.1.-- (NHKブックス ; 429)."</f>
        <v>しぐさの世界 : 身体表現の民族学 / 野村雅一著.-- 日本放送出版協会; 1983.1.-- (NHKブックス ; 429).</v>
      </c>
      <c r="E1064" s="5" t="str">
        <f>""</f>
        <v/>
      </c>
      <c r="F1064" s="26"/>
      <c r="G1064" s="27" t="str">
        <f>"389.04/ﾉﾑ"</f>
        <v>389.04/ﾉﾑ</v>
      </c>
      <c r="H1064" s="4" t="str">
        <f>"1999/04/20"</f>
        <v>1999/04/20</v>
      </c>
      <c r="I1064" s="6">
        <v>715</v>
      </c>
      <c r="J1064" s="6">
        <v>100</v>
      </c>
      <c r="K1064" s="4" t="str">
        <f t="shared" si="56"/>
        <v>1  和書</v>
      </c>
      <c r="L1064" s="7"/>
    </row>
    <row r="1065" spans="1:12" ht="24" x14ac:dyDescent="0.15">
      <c r="A1065" s="36">
        <v>1064</v>
      </c>
      <c r="B1065" s="3" t="s">
        <v>52</v>
      </c>
      <c r="C1065" s="10" t="str">
        <f>"0002468181"</f>
        <v>0002468181</v>
      </c>
      <c r="D1065" s="11" t="str">
        <f>"馬淵東一著作集 / 馬淵東一著 ; 第1巻 - 補巻.-- 社会思想社; 1974-1988."</f>
        <v>馬淵東一著作集 / 馬淵東一著 ; 第1巻 - 補巻.-- 社会思想社; 1974-1988.</v>
      </c>
      <c r="E1065" s="11" t="str">
        <f>"第2巻"</f>
        <v>第2巻</v>
      </c>
      <c r="F1065" s="28" t="s">
        <v>8</v>
      </c>
      <c r="G1065" s="29" t="str">
        <f>"389.08/ﾏﾌﾞ/2"</f>
        <v>389.08/ﾏﾌﾞ/2</v>
      </c>
      <c r="H1065" s="10" t="str">
        <f>"2001/11/20"</f>
        <v>2001/11/20</v>
      </c>
      <c r="I1065" s="12">
        <v>7500</v>
      </c>
      <c r="J1065" s="12">
        <v>100</v>
      </c>
      <c r="K1065" s="10" t="str">
        <f t="shared" si="56"/>
        <v>1  和書</v>
      </c>
      <c r="L1065" s="13"/>
    </row>
    <row r="1066" spans="1:12" ht="24" x14ac:dyDescent="0.15">
      <c r="A1066" s="36">
        <v>1065</v>
      </c>
      <c r="B1066" s="3" t="s">
        <v>52</v>
      </c>
      <c r="C1066" s="10" t="str">
        <f>"0002468204"</f>
        <v>0002468204</v>
      </c>
      <c r="D1066" s="11" t="str">
        <f>"馬淵東一著作集 / 馬淵東一著 ; 第1巻 - 補巻.-- 社会思想社; 1974-1988."</f>
        <v>馬淵東一著作集 / 馬淵東一著 ; 第1巻 - 補巻.-- 社会思想社; 1974-1988.</v>
      </c>
      <c r="E1066" s="11" t="str">
        <f>"補巻"</f>
        <v>補巻</v>
      </c>
      <c r="F1066" s="28" t="s">
        <v>8</v>
      </c>
      <c r="G1066" s="29" t="str">
        <f>"389.08/ﾏﾌﾞ/4"</f>
        <v>389.08/ﾏﾌﾞ/4</v>
      </c>
      <c r="H1066" s="10" t="str">
        <f>"2001/11/20"</f>
        <v>2001/11/20</v>
      </c>
      <c r="I1066" s="12">
        <v>7500</v>
      </c>
      <c r="J1066" s="12">
        <v>100</v>
      </c>
      <c r="K1066" s="10" t="str">
        <f t="shared" si="56"/>
        <v>1  和書</v>
      </c>
      <c r="L1066" s="13"/>
    </row>
    <row r="1067" spans="1:12" ht="22.5" x14ac:dyDescent="0.15">
      <c r="A1067" s="36">
        <v>1066</v>
      </c>
      <c r="B1067" s="3" t="s">
        <v>52</v>
      </c>
      <c r="C1067" s="4" t="str">
        <f>"0002017686"</f>
        <v>0002017686</v>
      </c>
      <c r="D1067" s="5" t="str">
        <f>"族譜 : 華南漢族の宗族・風水・移住 / 瀬川昌久著.-- 風響社; 1996.10."</f>
        <v>族譜 : 華南漢族の宗族・風水・移住 / 瀬川昌久著.-- 風響社; 1996.10.</v>
      </c>
      <c r="E1067" s="5" t="str">
        <f>""</f>
        <v/>
      </c>
      <c r="F1067" s="26"/>
      <c r="G1067" s="27" t="str">
        <f>"389.22/ｾｶﾞ"</f>
        <v>389.22/ｾｶﾞ</v>
      </c>
      <c r="H1067" s="4" t="str">
        <f>"1999/08/29"</f>
        <v>1999/08/29</v>
      </c>
      <c r="I1067" s="6">
        <v>3969</v>
      </c>
      <c r="J1067" s="6">
        <v>100</v>
      </c>
      <c r="K1067" s="4" t="str">
        <f t="shared" si="56"/>
        <v>1  和書</v>
      </c>
      <c r="L1067" s="7"/>
    </row>
    <row r="1068" spans="1:12" ht="24" x14ac:dyDescent="0.15">
      <c r="A1068" s="36">
        <v>1067</v>
      </c>
      <c r="B1068" s="3" t="s">
        <v>52</v>
      </c>
      <c r="C1068" s="4" t="str">
        <f>"0000700702"</f>
        <v>0000700702</v>
      </c>
      <c r="D1068" s="5" t="str">
        <f>"サラワクの先住民 : 消えゆく森に生きる / イブリン・ホン著 ; 北井一, 原後雄太訳.-- 法政大学出版局; 1989.7."</f>
        <v>サラワクの先住民 : 消えゆく森に生きる / イブリン・ホン著 ; 北井一, 原後雄太訳.-- 法政大学出版局; 1989.7.</v>
      </c>
      <c r="E1068" s="5" t="str">
        <f>""</f>
        <v/>
      </c>
      <c r="F1068" s="26"/>
      <c r="G1068" s="27" t="str">
        <f>"389.24/ﾎﾝ"</f>
        <v>389.24/ﾎﾝ</v>
      </c>
      <c r="H1068" s="4" t="str">
        <f>"1995/03/31"</f>
        <v>1995/03/31</v>
      </c>
      <c r="I1068" s="6">
        <v>2434</v>
      </c>
      <c r="J1068" s="6">
        <v>100</v>
      </c>
      <c r="K1068" s="4" t="str">
        <f t="shared" si="56"/>
        <v>1  和書</v>
      </c>
      <c r="L1068" s="7"/>
    </row>
    <row r="1069" spans="1:12" ht="24" x14ac:dyDescent="0.15">
      <c r="A1069" s="36">
        <v>1068</v>
      </c>
      <c r="B1069" s="3" t="s">
        <v>52</v>
      </c>
      <c r="C1069" s="4" t="str">
        <f>"0002017730"</f>
        <v>0002017730</v>
      </c>
      <c r="D1069" s="5" t="str">
        <f>"ハヌノオ・マンヤン族 : フィリピン山地民の社会・宗教・法 / 宮本勝著.-- 第一書房; 1986.4.-- (南島文化叢書 / 高宮廣衞 [ほか] 編 ; 8)."</f>
        <v>ハヌノオ・マンヤン族 : フィリピン山地民の社会・宗教・法 / 宮本勝著.-- 第一書房; 1986.4.-- (南島文化叢書 / 高宮廣衞 [ほか] 編 ; 8).</v>
      </c>
      <c r="E1069" s="5" t="str">
        <f>""</f>
        <v/>
      </c>
      <c r="F1069" s="26"/>
      <c r="G1069" s="27" t="str">
        <f>"389.24/ﾐﾔ"</f>
        <v>389.24/ﾐﾔ</v>
      </c>
      <c r="H1069" s="4" t="str">
        <f>"1999/08/29"</f>
        <v>1999/08/29</v>
      </c>
      <c r="I1069" s="6">
        <v>2646</v>
      </c>
      <c r="J1069" s="6">
        <v>100</v>
      </c>
      <c r="K1069" s="4" t="str">
        <f t="shared" si="56"/>
        <v>1  和書</v>
      </c>
      <c r="L1069" s="7"/>
    </row>
    <row r="1070" spans="1:12" ht="24" x14ac:dyDescent="0.15">
      <c r="A1070" s="36">
        <v>1069</v>
      </c>
      <c r="B1070" s="3" t="s">
        <v>52</v>
      </c>
      <c r="C1070" s="4" t="str">
        <f>"0000066501"</f>
        <v>0000066501</v>
      </c>
      <c r="D1070" s="5" t="str">
        <f>"北方民族文化誌 / オラウス・マグヌス [著] ; 谷口幸男訳 ; 上巻, 下巻.-- 溪水社; 1991.4-1992.11."</f>
        <v>北方民族文化誌 / オラウス・マグヌス [著] ; 谷口幸男訳 ; 上巻, 下巻.-- 溪水社; 1991.4-1992.11.</v>
      </c>
      <c r="E1070" s="5" t="str">
        <f>"上巻"</f>
        <v>上巻</v>
      </c>
      <c r="F1070" s="26"/>
      <c r="G1070" s="27" t="str">
        <f>"389.38/ﾏｸﾞ/1"</f>
        <v>389.38/ﾏｸﾞ/1</v>
      </c>
      <c r="H1070" s="4" t="str">
        <f>"1994/03/31"</f>
        <v>1994/03/31</v>
      </c>
      <c r="I1070" s="6">
        <v>8108</v>
      </c>
      <c r="J1070" s="6">
        <v>100</v>
      </c>
      <c r="K1070" s="4" t="str">
        <f t="shared" si="56"/>
        <v>1  和書</v>
      </c>
      <c r="L1070" s="7"/>
    </row>
    <row r="1071" spans="1:12" ht="24" x14ac:dyDescent="0.15">
      <c r="A1071" s="36">
        <v>1070</v>
      </c>
      <c r="B1071" s="3" t="s">
        <v>52</v>
      </c>
      <c r="C1071" s="4" t="str">
        <f>"0000950305"</f>
        <v>0000950305</v>
      </c>
      <c r="D1071" s="5" t="str">
        <f>"北方民族文化誌 / オラウス・マグヌス [著] ; 谷口幸男訳 ; 上巻, 下巻.-- 溪水社; 1991.4-1992.11."</f>
        <v>北方民族文化誌 / オラウス・マグヌス [著] ; 谷口幸男訳 ; 上巻, 下巻.-- 溪水社; 1991.4-1992.11.</v>
      </c>
      <c r="E1071" s="5" t="str">
        <f>"下巻"</f>
        <v>下巻</v>
      </c>
      <c r="F1071" s="26"/>
      <c r="G1071" s="27" t="str">
        <f>"389.38/ﾏｸﾞ/2"</f>
        <v>389.38/ﾏｸﾞ/2</v>
      </c>
      <c r="H1071" s="4" t="str">
        <f>"1996/03/29"</f>
        <v>1996/03/29</v>
      </c>
      <c r="I1071" s="6">
        <v>10620</v>
      </c>
      <c r="J1071" s="8">
        <v>500</v>
      </c>
      <c r="K1071" s="4" t="str">
        <f t="shared" si="56"/>
        <v>1  和書</v>
      </c>
      <c r="L1071" s="7"/>
    </row>
    <row r="1072" spans="1:12" ht="24" x14ac:dyDescent="0.15">
      <c r="A1072" s="36">
        <v>1071</v>
      </c>
      <c r="B1072" s="3" t="s">
        <v>52</v>
      </c>
      <c r="C1072" s="4" t="str">
        <f>"0002451626"</f>
        <v>0002451626</v>
      </c>
      <c r="D1072" s="5" t="str">
        <f>"口頭伝承論 / 川田順造著 ; 上, 下.-- 平凡社; 2001.-- (平凡社ライブラリー ; 389, 393)."</f>
        <v>口頭伝承論 / 川田順造著 ; 上, 下.-- 平凡社; 2001.-- (平凡社ライブラリー ; 389, 393).</v>
      </c>
      <c r="E1072" s="5" t="str">
        <f>"上"</f>
        <v>上</v>
      </c>
      <c r="F1072" s="26"/>
      <c r="G1072" s="27" t="str">
        <f>"389.44/ｶﾜ/1"</f>
        <v>389.44/ｶﾜ/1</v>
      </c>
      <c r="H1072" s="4" t="str">
        <f>"2001/05/28"</f>
        <v>2001/05/28</v>
      </c>
      <c r="I1072" s="6">
        <v>1512</v>
      </c>
      <c r="J1072" s="6">
        <v>100</v>
      </c>
      <c r="K1072" s="4" t="str">
        <f t="shared" si="56"/>
        <v>1  和書</v>
      </c>
      <c r="L1072" s="7"/>
    </row>
    <row r="1073" spans="1:12" ht="24" x14ac:dyDescent="0.15">
      <c r="A1073" s="36">
        <v>1072</v>
      </c>
      <c r="B1073" s="3" t="s">
        <v>52</v>
      </c>
      <c r="C1073" s="4" t="str">
        <f>"0000586979"</f>
        <v>0000586979</v>
      </c>
      <c r="D1073" s="5" t="str">
        <f>"霊のうたが聴こえる : ワヘイの音の民族誌 / 山田陽一著.-- 春秋社; 1991.8."</f>
        <v>霊のうたが聴こえる : ワヘイの音の民族誌 / 山田陽一著.-- 春秋社; 1991.8.</v>
      </c>
      <c r="E1073" s="5" t="str">
        <f>""</f>
        <v/>
      </c>
      <c r="F1073" s="26"/>
      <c r="G1073" s="27" t="str">
        <f>"389.73/ﾔﾏ"</f>
        <v>389.73/ﾔﾏ</v>
      </c>
      <c r="H1073" s="4" t="str">
        <f>"1995/03/31"</f>
        <v>1995/03/31</v>
      </c>
      <c r="I1073" s="6">
        <v>2276</v>
      </c>
      <c r="J1073" s="6">
        <v>100</v>
      </c>
      <c r="K1073" s="4" t="str">
        <f t="shared" si="56"/>
        <v>1  和書</v>
      </c>
      <c r="L1073" s="7"/>
    </row>
    <row r="1074" spans="1:12" ht="24" x14ac:dyDescent="0.15">
      <c r="A1074" s="36">
        <v>1073</v>
      </c>
      <c r="B1074" s="3" t="s">
        <v>53</v>
      </c>
      <c r="C1074" s="10" t="str">
        <f>"0003906842"</f>
        <v>0003906842</v>
      </c>
      <c r="D1074" s="11" t="str">
        <f>"「戦地」派遣 : 変わる自衛隊 / 半田滋著.-- 岩波書店; 2009.2.-- (岩波新書 ; 新赤版 1175)."</f>
        <v>「戦地」派遣 : 変わる自衛隊 / 半田滋著.-- 岩波書店; 2009.2.-- (岩波新書 ; 新赤版 1175).</v>
      </c>
      <c r="E1074" s="11" t="str">
        <f>""</f>
        <v/>
      </c>
      <c r="F1074" s="28" t="s">
        <v>8</v>
      </c>
      <c r="G1074" s="29" t="str">
        <f>"392.1/ﾊﾝ"</f>
        <v>392.1/ﾊﾝ</v>
      </c>
      <c r="H1074" s="10" t="str">
        <f>"2009/04/15"</f>
        <v>2009/04/15</v>
      </c>
      <c r="I1074" s="12">
        <v>737</v>
      </c>
      <c r="J1074" s="12">
        <v>100</v>
      </c>
      <c r="K1074" s="10" t="str">
        <f t="shared" si="56"/>
        <v>1  和書</v>
      </c>
      <c r="L1074" s="13"/>
    </row>
    <row r="1075" spans="1:12" ht="36" x14ac:dyDescent="0.15">
      <c r="A1075" s="36">
        <v>1074</v>
      </c>
      <c r="B1075" s="3" t="s">
        <v>53</v>
      </c>
      <c r="C1075" s="10" t="str">
        <f>"9200004146"</f>
        <v>9200004146</v>
      </c>
      <c r="D1075" s="11" t="str">
        <f>"Nuclear weapons and strategy : U.S. nuclear policy for the twenty-first century / Stephen J. Cimbala.-- Routledge; 2005.-- (Contemporary security studies)."</f>
        <v>Nuclear weapons and strategy : U.S. nuclear policy for the twenty-first century / Stephen J. Cimbala.-- Routledge; 2005.-- (Contemporary security studies).</v>
      </c>
      <c r="E1075" s="11" t="str">
        <f>""</f>
        <v/>
      </c>
      <c r="F1075" s="28" t="s">
        <v>8</v>
      </c>
      <c r="G1075" s="29" t="str">
        <f>"392.53/CI"</f>
        <v>392.53/CI</v>
      </c>
      <c r="H1075" s="10" t="str">
        <f>"2009/08/24"</f>
        <v>2009/08/24</v>
      </c>
      <c r="I1075" s="12">
        <v>20407</v>
      </c>
      <c r="J1075" s="14">
        <v>1000</v>
      </c>
      <c r="K1075" s="10" t="str">
        <f>"2  洋書"</f>
        <v>2  洋書</v>
      </c>
      <c r="L1075" s="13"/>
    </row>
    <row r="1076" spans="1:12" ht="24" x14ac:dyDescent="0.15">
      <c r="A1076" s="36">
        <v>1075</v>
      </c>
      <c r="B1076" s="3" t="s">
        <v>54</v>
      </c>
      <c r="C1076" s="4" t="str">
        <f>"0001278101"</f>
        <v>0001278101</v>
      </c>
      <c r="D1076" s="5" t="str">
        <f>"日本科学者伝 / 常石敬一ほか著.-- 小学館; 1996.1.-- (地球人ライブラリー ; 022)."</f>
        <v>日本科学者伝 / 常石敬一ほか著.-- 小学館; 1996.1.-- (地球人ライブラリー ; 022).</v>
      </c>
      <c r="E1076" s="5" t="str">
        <f>""</f>
        <v/>
      </c>
      <c r="F1076" s="26"/>
      <c r="G1076" s="27" t="str">
        <f>"402.1/ﾂﾈ"</f>
        <v>402.1/ﾂﾈ</v>
      </c>
      <c r="H1076" s="4" t="str">
        <f>"1996/10/21"</f>
        <v>1996/10/21</v>
      </c>
      <c r="I1076" s="6">
        <v>1530</v>
      </c>
      <c r="J1076" s="6">
        <v>100</v>
      </c>
      <c r="K1076" s="4" t="str">
        <f t="shared" ref="K1076:K1084" si="59">"1  和書"</f>
        <v>1  和書</v>
      </c>
      <c r="L1076" s="7"/>
    </row>
    <row r="1077" spans="1:12" ht="24" x14ac:dyDescent="0.15">
      <c r="A1077" s="36">
        <v>1076</v>
      </c>
      <c r="B1077" s="3" t="s">
        <v>54</v>
      </c>
      <c r="C1077" s="4" t="str">
        <f>"0002451183"</f>
        <v>0002451183</v>
      </c>
      <c r="D1077" s="5" t="str">
        <f>"文化としての科学/技術 / 村上陽一郎著.-- 岩波書店; 2001.4.-- (双書科学/技術のゆくえ)."</f>
        <v>文化としての科学/技術 / 村上陽一郎著.-- 岩波書店; 2001.4.-- (双書科学/技術のゆくえ).</v>
      </c>
      <c r="E1077" s="5" t="str">
        <f>""</f>
        <v/>
      </c>
      <c r="F1077" s="26"/>
      <c r="G1077" s="27" t="str">
        <f>"404/ﾑﾗ"</f>
        <v>404/ﾑﾗ</v>
      </c>
      <c r="H1077" s="4" t="str">
        <f>"2001/05/23"</f>
        <v>2001/05/23</v>
      </c>
      <c r="I1077" s="6">
        <v>1890</v>
      </c>
      <c r="J1077" s="6">
        <v>100</v>
      </c>
      <c r="K1077" s="4" t="str">
        <f t="shared" si="59"/>
        <v>1  和書</v>
      </c>
      <c r="L1077" s="7"/>
    </row>
    <row r="1078" spans="1:12" x14ac:dyDescent="0.15">
      <c r="A1078" s="36">
        <v>1077</v>
      </c>
      <c r="B1078" s="3" t="s">
        <v>55</v>
      </c>
      <c r="C1078" s="4" t="str">
        <f>"0002758640"</f>
        <v>0002758640</v>
      </c>
      <c r="D1078" s="5" t="str">
        <f>"MATLABプログラミング入門 / 上坂吉則著.-- 牧野書店."</f>
        <v>MATLABプログラミング入門 / 上坂吉則著.-- 牧野書店.</v>
      </c>
      <c r="E1078" s="5" t="str">
        <f>""</f>
        <v/>
      </c>
      <c r="F1078" s="26"/>
      <c r="G1078" s="27" t="str">
        <f>"410/ｳｴ"</f>
        <v>410/ｳｴ</v>
      </c>
      <c r="H1078" s="4" t="str">
        <f>"2004/12/06"</f>
        <v>2004/12/06</v>
      </c>
      <c r="I1078" s="6">
        <v>2457</v>
      </c>
      <c r="J1078" s="6">
        <v>100</v>
      </c>
      <c r="K1078" s="4" t="str">
        <f t="shared" si="59"/>
        <v>1  和書</v>
      </c>
      <c r="L1078" s="7"/>
    </row>
    <row r="1079" spans="1:12" ht="24" x14ac:dyDescent="0.15">
      <c r="A1079" s="36">
        <v>1078</v>
      </c>
      <c r="B1079" s="3" t="s">
        <v>55</v>
      </c>
      <c r="C1079" s="4" t="str">
        <f>"0002296753"</f>
        <v>0002296753</v>
      </c>
      <c r="D1079" s="5" t="str">
        <f>"これなら分かる応用数学教室 : 最小二乗法からウェーブレットまで / 金谷健一著.-- 共立出版; 2003.6."</f>
        <v>これなら分かる応用数学教室 : 最小二乗法からウェーブレットまで / 金谷健一著.-- 共立出版; 2003.6.</v>
      </c>
      <c r="E1079" s="5" t="str">
        <f>""</f>
        <v/>
      </c>
      <c r="F1079" s="26"/>
      <c r="G1079" s="27" t="str">
        <f>"410/ｶﾅ"</f>
        <v>410/ｶﾅ</v>
      </c>
      <c r="H1079" s="4" t="str">
        <f>"2003/07/18"</f>
        <v>2003/07/18</v>
      </c>
      <c r="I1079" s="6">
        <v>2740</v>
      </c>
      <c r="J1079" s="6">
        <v>100</v>
      </c>
      <c r="K1079" s="4" t="str">
        <f t="shared" si="59"/>
        <v>1  和書</v>
      </c>
      <c r="L1079" s="7"/>
    </row>
    <row r="1080" spans="1:12" ht="24" x14ac:dyDescent="0.15">
      <c r="A1080" s="36">
        <v>1079</v>
      </c>
      <c r="B1080" s="3" t="s">
        <v>55</v>
      </c>
      <c r="C1080" s="4" t="str">
        <f>"0002758657"</f>
        <v>0002758657</v>
      </c>
      <c r="D1080" s="5" t="str">
        <f>"直観でわかる数学 / 畑村洋太郎著 ; [正], 続.-- 岩波書店; 2004.9-2005.10."</f>
        <v>直観でわかる数学 / 畑村洋太郎著 ; [正], 続.-- 岩波書店; 2004.9-2005.10.</v>
      </c>
      <c r="E1080" s="5" t="str">
        <f>"[正]"</f>
        <v>[正]</v>
      </c>
      <c r="F1080" s="26"/>
      <c r="G1080" s="27" t="str">
        <f>"410/ﾊﾀ/1"</f>
        <v>410/ﾊﾀ/1</v>
      </c>
      <c r="H1080" s="4" t="str">
        <f>"2004/12/06"</f>
        <v>2004/12/06</v>
      </c>
      <c r="I1080" s="6">
        <v>1795</v>
      </c>
      <c r="J1080" s="6">
        <v>100</v>
      </c>
      <c r="K1080" s="4" t="str">
        <f t="shared" si="59"/>
        <v>1  和書</v>
      </c>
      <c r="L1080" s="7"/>
    </row>
    <row r="1081" spans="1:12" ht="24" x14ac:dyDescent="0.15">
      <c r="A1081" s="36">
        <v>1080</v>
      </c>
      <c r="B1081" s="3" t="s">
        <v>55</v>
      </c>
      <c r="C1081" s="4" t="str">
        <f>"0002771533"</f>
        <v>0002771533</v>
      </c>
      <c r="D1081" s="5" t="str">
        <f>"「情報の数学」再入門 : 目からウロコ / 本多庸悟著.-- 日刊工業新聞社; 2007.8."</f>
        <v>「情報の数学」再入門 : 目からウロコ / 本多庸悟著.-- 日刊工業新聞社; 2007.8.</v>
      </c>
      <c r="E1081" s="5" t="str">
        <f>""</f>
        <v/>
      </c>
      <c r="F1081" s="26"/>
      <c r="G1081" s="27" t="str">
        <f>"410/ﾎﾝ"</f>
        <v>410/ﾎﾝ</v>
      </c>
      <c r="H1081" s="4" t="str">
        <f>"2007/10/12"</f>
        <v>2007/10/12</v>
      </c>
      <c r="I1081" s="6">
        <v>2079</v>
      </c>
      <c r="J1081" s="6">
        <v>100</v>
      </c>
      <c r="K1081" s="4" t="str">
        <f t="shared" si="59"/>
        <v>1  和書</v>
      </c>
      <c r="L1081" s="7"/>
    </row>
    <row r="1082" spans="1:12" ht="24" x14ac:dyDescent="0.15">
      <c r="A1082" s="36">
        <v>1081</v>
      </c>
      <c r="B1082" s="3" t="s">
        <v>55</v>
      </c>
      <c r="C1082" s="4" t="str">
        <f>"0002287706"</f>
        <v>0002287706</v>
      </c>
      <c r="D1082" s="5" t="str">
        <f>"Mathematica数学の道具箱 / 宮岡悦良著 ; 上, 下.-- 改訂新版.-- ブレーン出版; 2000.4."</f>
        <v>Mathematica数学の道具箱 / 宮岡悦良著 ; 上, 下.-- 改訂新版.-- ブレーン出版; 2000.4.</v>
      </c>
      <c r="E1082" s="5" t="str">
        <f>"上"</f>
        <v>上</v>
      </c>
      <c r="F1082" s="26"/>
      <c r="G1082" s="27" t="str">
        <f>"410/ﾐﾔ/1"</f>
        <v>410/ﾐﾔ/1</v>
      </c>
      <c r="H1082" s="4" t="str">
        <f>"2002/10/31"</f>
        <v>2002/10/31</v>
      </c>
      <c r="I1082" s="6">
        <v>2268</v>
      </c>
      <c r="J1082" s="6">
        <v>100</v>
      </c>
      <c r="K1082" s="4" t="str">
        <f t="shared" si="59"/>
        <v>1  和書</v>
      </c>
      <c r="L1082" s="7"/>
    </row>
    <row r="1083" spans="1:12" ht="24" x14ac:dyDescent="0.15">
      <c r="A1083" s="36">
        <v>1082</v>
      </c>
      <c r="B1083" s="3" t="s">
        <v>55</v>
      </c>
      <c r="C1083" s="4" t="str">
        <f>"0002287713"</f>
        <v>0002287713</v>
      </c>
      <c r="D1083" s="5" t="str">
        <f>"Mathematica数学の道具箱 / 宮岡悦良著 ; 上, 下.-- 改訂新版.-- ブレーン出版; 2000.4."</f>
        <v>Mathematica数学の道具箱 / 宮岡悦良著 ; 上, 下.-- 改訂新版.-- ブレーン出版; 2000.4.</v>
      </c>
      <c r="E1083" s="5" t="str">
        <f>"下"</f>
        <v>下</v>
      </c>
      <c r="F1083" s="26"/>
      <c r="G1083" s="27" t="str">
        <f>"410/ﾐﾔ/2"</f>
        <v>410/ﾐﾔ/2</v>
      </c>
      <c r="H1083" s="4" t="str">
        <f>"2002/10/31"</f>
        <v>2002/10/31</v>
      </c>
      <c r="I1083" s="6">
        <v>2268</v>
      </c>
      <c r="J1083" s="6">
        <v>100</v>
      </c>
      <c r="K1083" s="4" t="str">
        <f t="shared" si="59"/>
        <v>1  和書</v>
      </c>
      <c r="L1083" s="7"/>
    </row>
    <row r="1084" spans="1:12" ht="24" x14ac:dyDescent="0.15">
      <c r="A1084" s="36">
        <v>1083</v>
      </c>
      <c r="B1084" s="3" t="s">
        <v>55</v>
      </c>
      <c r="C1084" s="4" t="str">
        <f>"0002793191"</f>
        <v>0002793191</v>
      </c>
      <c r="D1084" s="5" t="str">
        <f>"新体系・高校数学の教科書 / 芳沢光雄著 ; 上, 下.-- 講談社; 2010.3.-- (ブルーバックス ; B-1677,1678)."</f>
        <v>新体系・高校数学の教科書 / 芳沢光雄著 ; 上, 下.-- 講談社; 2010.3.-- (ブルーバックス ; B-1677,1678).</v>
      </c>
      <c r="E1084" s="5" t="str">
        <f>"上"</f>
        <v>上</v>
      </c>
      <c r="F1084" s="26"/>
      <c r="G1084" s="27" t="str">
        <f>"410/ﾖｼ/1"</f>
        <v>410/ﾖｼ/1</v>
      </c>
      <c r="H1084" s="4" t="str">
        <f>"2011/03/11"</f>
        <v>2011/03/11</v>
      </c>
      <c r="I1084" s="6">
        <v>1239</v>
      </c>
      <c r="J1084" s="6">
        <v>100</v>
      </c>
      <c r="K1084" s="4" t="str">
        <f t="shared" si="59"/>
        <v>1  和書</v>
      </c>
      <c r="L1084" s="7"/>
    </row>
    <row r="1085" spans="1:12" ht="36" x14ac:dyDescent="0.15">
      <c r="A1085" s="36">
        <v>1084</v>
      </c>
      <c r="B1085" s="3" t="s">
        <v>55</v>
      </c>
      <c r="C1085" s="10" t="str">
        <f>"0001273441"</f>
        <v>0001273441</v>
      </c>
      <c r="D1085" s="11" t="str">
        <f>"Mathematics for computer science / A. Arnold and I. Guessarian ; : pbk.-- Prentice Hall; 1996.-- (Prentice-Hall International series in computer science)."</f>
        <v>Mathematics for computer science / A. Arnold and I. Guessarian ; : pbk.-- Prentice Hall; 1996.-- (Prentice-Hall International series in computer science).</v>
      </c>
      <c r="E1085" s="11" t="str">
        <f>": pbk"</f>
        <v>: pbk</v>
      </c>
      <c r="F1085" s="28" t="s">
        <v>8</v>
      </c>
      <c r="G1085" s="29" t="str">
        <f>"410/AR"</f>
        <v>410/AR</v>
      </c>
      <c r="H1085" s="10" t="str">
        <f>"1996/07/24"</f>
        <v>1996/07/24</v>
      </c>
      <c r="I1085" s="12">
        <v>8250</v>
      </c>
      <c r="J1085" s="12">
        <v>100</v>
      </c>
      <c r="K1085" s="10" t="str">
        <f>"2  洋書"</f>
        <v>2  洋書</v>
      </c>
      <c r="L1085" s="13"/>
    </row>
    <row r="1086" spans="1:12" ht="24" x14ac:dyDescent="0.15">
      <c r="A1086" s="36">
        <v>1085</v>
      </c>
      <c r="B1086" s="3" t="s">
        <v>55</v>
      </c>
      <c r="C1086" s="4" t="str">
        <f>"0000863919"</f>
        <v>0000863919</v>
      </c>
      <c r="D1086" s="5" t="str">
        <f>"メタマジック・ゲーム : 科学と芸術のジグソーパズル / D.R.ホフスタッター著 ; 竹内郁雄, 斉藤康己, 片桐恭弘訳.-- 白揚社; 1990.9."</f>
        <v>メタマジック・ゲーム : 科学と芸術のジグソーパズル / D.R.ホフスタッター著 ; 竹内郁雄, 斉藤康己, 片桐恭弘訳.-- 白揚社; 1990.9.</v>
      </c>
      <c r="E1086" s="5" t="str">
        <f>""</f>
        <v/>
      </c>
      <c r="F1086" s="26"/>
      <c r="G1086" s="27" t="str">
        <f>"410.1/ﾎﾌ"</f>
        <v>410.1/ﾎﾌ</v>
      </c>
      <c r="H1086" s="4" t="str">
        <f>"1995/07/20"</f>
        <v>1995/07/20</v>
      </c>
      <c r="I1086" s="6">
        <v>5220</v>
      </c>
      <c r="J1086" s="6">
        <v>100</v>
      </c>
      <c r="K1086" s="4" t="str">
        <f t="shared" ref="K1086:K1097" si="60">"1  和書"</f>
        <v>1  和書</v>
      </c>
      <c r="L1086" s="7"/>
    </row>
    <row r="1087" spans="1:12" ht="24" x14ac:dyDescent="0.15">
      <c r="A1087" s="36">
        <v>1086</v>
      </c>
      <c r="B1087" s="3" t="s">
        <v>55</v>
      </c>
      <c r="C1087" s="4" t="str">
        <f>"0001285871"</f>
        <v>0001285871</v>
      </c>
      <c r="D1087" s="5" t="str">
        <f>"ゲーデル, エッシャー, バッハ : あるいは不思議の環 / ダグラス・R.ホフスタッター著 ; 野崎昭弘, はやしはじめ, 柳瀬尚紀訳.-- 白揚社; 1985.5."</f>
        <v>ゲーデル, エッシャー, バッハ : あるいは不思議の環 / ダグラス・R.ホフスタッター著 ; 野崎昭弘, はやしはじめ, 柳瀬尚紀訳.-- 白揚社; 1985.5.</v>
      </c>
      <c r="E1087" s="5" t="str">
        <f>""</f>
        <v/>
      </c>
      <c r="F1087" s="26"/>
      <c r="G1087" s="27" t="str">
        <f>"410.1/ﾎﾌ"</f>
        <v>410.1/ﾎﾌ</v>
      </c>
      <c r="H1087" s="4" t="str">
        <f>"1997/03/03"</f>
        <v>1997/03/03</v>
      </c>
      <c r="I1087" s="6">
        <v>9502</v>
      </c>
      <c r="J1087" s="6">
        <v>100</v>
      </c>
      <c r="K1087" s="4" t="str">
        <f t="shared" si="60"/>
        <v>1  和書</v>
      </c>
      <c r="L1087" s="7"/>
    </row>
    <row r="1088" spans="1:12" ht="36" x14ac:dyDescent="0.15">
      <c r="A1088" s="36">
        <v>1087</v>
      </c>
      <c r="B1088" s="3" t="s">
        <v>55</v>
      </c>
      <c r="C1088" s="10" t="str">
        <f>"0000877237"</f>
        <v>0000877237</v>
      </c>
      <c r="D1088" s="11" t="str">
        <f>"Metamathematics, machines, and G◆U00F6◆del's proof / N. Shankar.-- Cambridge University Press; 1994.-- (Cambridge tracts in theoretical computer science ; 38)."</f>
        <v>Metamathematics, machines, and G◆U00F6◆del's proof / N. Shankar.-- Cambridge University Press; 1994.-- (Cambridge tracts in theoretical computer science ; 38).</v>
      </c>
      <c r="E1088" s="11" t="str">
        <f>""</f>
        <v/>
      </c>
      <c r="F1088" s="28" t="s">
        <v>8</v>
      </c>
      <c r="G1088" s="29" t="str">
        <f>"410.1/SH"</f>
        <v>410.1/SH</v>
      </c>
      <c r="H1088" s="10" t="str">
        <f>"1995/10/03"</f>
        <v>1995/10/03</v>
      </c>
      <c r="I1088" s="12">
        <v>5330</v>
      </c>
      <c r="J1088" s="12">
        <v>100</v>
      </c>
      <c r="K1088" s="10" t="str">
        <f>"2  洋書"</f>
        <v>2  洋書</v>
      </c>
      <c r="L1088" s="13"/>
    </row>
    <row r="1089" spans="1:12" x14ac:dyDescent="0.15">
      <c r="A1089" s="36">
        <v>1088</v>
      </c>
      <c r="B1089" s="3" t="s">
        <v>55</v>
      </c>
      <c r="C1089" s="4" t="str">
        <f>"0000519557"</f>
        <v>0000519557</v>
      </c>
      <c r="D1089" s="5" t="str">
        <f>"現代数理科学事典 / 広中平祐編集委員会代表.-- 大阪書籍."</f>
        <v>現代数理科学事典 / 広中平祐編集委員会代表.-- 大阪書籍.</v>
      </c>
      <c r="E1089" s="5" t="str">
        <f>""</f>
        <v/>
      </c>
      <c r="F1089" s="26"/>
      <c r="G1089" s="27" t="str">
        <f>"R410.33/ﾋﾛ"</f>
        <v>R410.33/ﾋﾛ</v>
      </c>
      <c r="H1089" s="4" t="str">
        <f>"1995/01/13"</f>
        <v>1995/01/13</v>
      </c>
      <c r="I1089" s="6">
        <v>35100</v>
      </c>
      <c r="J1089" s="8">
        <v>1000</v>
      </c>
      <c r="K1089" s="4" t="str">
        <f t="shared" si="60"/>
        <v>1  和書</v>
      </c>
      <c r="L1089" s="7"/>
    </row>
    <row r="1090" spans="1:12" x14ac:dyDescent="0.15">
      <c r="A1090" s="36">
        <v>1089</v>
      </c>
      <c r="B1090" s="3" t="s">
        <v>55</v>
      </c>
      <c r="C1090" s="4" t="str">
        <f>"0001040562"</f>
        <v>0001040562</v>
      </c>
      <c r="D1090" s="5" t="str">
        <f>"現代数理科学事典 / 広中平祐編集委員会代表.-- 大阪書籍."</f>
        <v>現代数理科学事典 / 広中平祐編集委員会代表.-- 大阪書籍.</v>
      </c>
      <c r="E1090" s="5" t="str">
        <f>""</f>
        <v/>
      </c>
      <c r="F1090" s="26"/>
      <c r="G1090" s="27" t="str">
        <f>"R410.33/ﾋﾛ"</f>
        <v>R410.33/ﾋﾛ</v>
      </c>
      <c r="H1090" s="4" t="str">
        <f>"1996/03/29"</f>
        <v>1996/03/29</v>
      </c>
      <c r="I1090" s="6">
        <v>30420</v>
      </c>
      <c r="J1090" s="8">
        <v>1000</v>
      </c>
      <c r="K1090" s="4" t="str">
        <f t="shared" si="60"/>
        <v>1  和書</v>
      </c>
      <c r="L1090" s="7"/>
    </row>
    <row r="1091" spans="1:12" ht="24" x14ac:dyDescent="0.15">
      <c r="A1091" s="36">
        <v>1090</v>
      </c>
      <c r="B1091" s="3" t="s">
        <v>55</v>
      </c>
      <c r="C1091" s="4" t="str">
        <f>"0002280332"</f>
        <v>0002280332</v>
      </c>
      <c r="D1091" s="5" t="str">
        <f>"マグローヒル数学用語辞典 / マグローヒル数学用語辞典編集委員会編集.-- 日刊工業新聞社; 2001.11."</f>
        <v>マグローヒル数学用語辞典 / マグローヒル数学用語辞典編集委員会編集.-- 日刊工業新聞社; 2001.11.</v>
      </c>
      <c r="E1091" s="5" t="str">
        <f>""</f>
        <v/>
      </c>
      <c r="F1091" s="26"/>
      <c r="G1091" s="27" t="str">
        <f>"R410.33/ﾏｸﾞ"</f>
        <v>R410.33/ﾏｸﾞ</v>
      </c>
      <c r="H1091" s="4" t="str">
        <f>"2002/02/27"</f>
        <v>2002/02/27</v>
      </c>
      <c r="I1091" s="6">
        <v>3591</v>
      </c>
      <c r="J1091" s="6">
        <v>100</v>
      </c>
      <c r="K1091" s="4" t="str">
        <f t="shared" si="60"/>
        <v>1  和書</v>
      </c>
      <c r="L1091" s="7"/>
    </row>
    <row r="1092" spans="1:12" ht="24" x14ac:dyDescent="0.15">
      <c r="A1092" s="36">
        <v>1091</v>
      </c>
      <c r="B1092" s="3" t="s">
        <v>55</v>
      </c>
      <c r="C1092" s="4" t="str">
        <f>"0001278576"</f>
        <v>0001278576</v>
      </c>
      <c r="D1092" s="5" t="str">
        <f>"数学 : パターンの科学 : 宇宙・生命・心の秩序の探求 / キース・デブリン著 ; 山下純一訳.-- 日経サイエンス社."</f>
        <v>数学 : パターンの科学 : 宇宙・生命・心の秩序の探求 / キース・デブリン著 ; 山下純一訳.-- 日経サイエンス社.</v>
      </c>
      <c r="E1092" s="5" t="str">
        <f>""</f>
        <v/>
      </c>
      <c r="F1092" s="26"/>
      <c r="G1092" s="27" t="str">
        <f>"410.4/ﾃﾞﾌﾞ"</f>
        <v>410.4/ﾃﾞﾌﾞ</v>
      </c>
      <c r="H1092" s="4" t="str">
        <f>"1996/11/01"</f>
        <v>1996/11/01</v>
      </c>
      <c r="I1092" s="6">
        <v>2970</v>
      </c>
      <c r="J1092" s="6">
        <v>100</v>
      </c>
      <c r="K1092" s="4" t="str">
        <f t="shared" si="60"/>
        <v>1  和書</v>
      </c>
      <c r="L1092" s="7"/>
    </row>
    <row r="1093" spans="1:12" ht="24" x14ac:dyDescent="0.15">
      <c r="A1093" s="36">
        <v>1092</v>
      </c>
      <c r="B1093" s="3" t="s">
        <v>55</v>
      </c>
      <c r="C1093" s="4" t="str">
        <f>"0000180009"</f>
        <v>0000180009</v>
      </c>
      <c r="D1093" s="5" t="str">
        <f>"クヌース先生のドキュメント纂法 / Donald E.Knuth, Tracy Larrabee, Paul M. Roberts著 ; 有澤誠訳.-- 共立出版; 1989.12."</f>
        <v>クヌース先生のドキュメント纂法 / Donald E.Knuth, Tracy Larrabee, Paul M. Roberts著 ; 有澤誠訳.-- 共立出版; 1989.12.</v>
      </c>
      <c r="E1093" s="5" t="str">
        <f>""</f>
        <v/>
      </c>
      <c r="F1093" s="26"/>
      <c r="G1093" s="27" t="str">
        <f>"410.7/ｸﾇ"</f>
        <v>410.7/ｸﾇ</v>
      </c>
      <c r="H1093" s="4" t="str">
        <f>"1994/03/31"</f>
        <v>1994/03/31</v>
      </c>
      <c r="I1093" s="6">
        <v>2078</v>
      </c>
      <c r="J1093" s="6">
        <v>100</v>
      </c>
      <c r="K1093" s="4" t="str">
        <f t="shared" si="60"/>
        <v>1  和書</v>
      </c>
      <c r="L1093" s="7"/>
    </row>
    <row r="1094" spans="1:12" ht="24" x14ac:dyDescent="0.15">
      <c r="A1094" s="36">
        <v>1093</v>
      </c>
      <c r="B1094" s="3" t="s">
        <v>55</v>
      </c>
      <c r="C1094" s="4" t="str">
        <f>"0001550689"</f>
        <v>0001550689</v>
      </c>
      <c r="D1094" s="5" t="str">
        <f>"数学オリンピック / 数学オリンピック財団編 ; 1990-1994 - 2014-2018.-- 日本評論社; 1995.9-."</f>
        <v>数学オリンピック / 数学オリンピック財団編 ; 1990-1994 - 2014-2018.-- 日本評論社; 1995.9-.</v>
      </c>
      <c r="E1094" s="5" t="str">
        <f>"1992-1997"</f>
        <v>1992-1997</v>
      </c>
      <c r="F1094" s="26"/>
      <c r="G1094" s="27" t="str">
        <f>"410.78/ｽｳ/92-97"</f>
        <v>410.78/ｽｳ/92-97</v>
      </c>
      <c r="H1094" s="4" t="str">
        <f>"1997/12/10"</f>
        <v>1997/12/10</v>
      </c>
      <c r="I1094" s="6">
        <v>1800</v>
      </c>
      <c r="J1094" s="6">
        <v>100</v>
      </c>
      <c r="K1094" s="4" t="str">
        <f t="shared" si="60"/>
        <v>1  和書</v>
      </c>
      <c r="L1094" s="7"/>
    </row>
    <row r="1095" spans="1:12" ht="24" x14ac:dyDescent="0.15">
      <c r="A1095" s="36">
        <v>1094</v>
      </c>
      <c r="B1095" s="3" t="s">
        <v>55</v>
      </c>
      <c r="C1095" s="4" t="str">
        <f>"0002255743"</f>
        <v>0002255743</v>
      </c>
      <c r="D1095" s="5" t="str">
        <f>"曲面の幾何 / 砂田利一著.-- 岩波書店; 1996.6.-- (岩波講座現代数学への入門 / 青本和彦 [ほか] 編 ; 15)."</f>
        <v>曲面の幾何 / 砂田利一著.-- 岩波書店; 1996.6.-- (岩波講座現代数学への入門 / 青本和彦 [ほか] 編 ; 15).</v>
      </c>
      <c r="E1095" s="5" t="str">
        <f>""</f>
        <v/>
      </c>
      <c r="F1095" s="26"/>
      <c r="G1095" s="27" t="str">
        <f>"410.8/ｲﾜ/15"</f>
        <v>410.8/ｲﾜ/15</v>
      </c>
      <c r="H1095" s="4" t="str">
        <f>"2000/06/09"</f>
        <v>2000/06/09</v>
      </c>
      <c r="I1095" s="6">
        <v>1796</v>
      </c>
      <c r="J1095" s="6">
        <v>100</v>
      </c>
      <c r="K1095" s="4" t="str">
        <f t="shared" si="60"/>
        <v>1  和書</v>
      </c>
      <c r="L1095" s="7"/>
    </row>
    <row r="1096" spans="1:12" ht="24" x14ac:dyDescent="0.15">
      <c r="A1096" s="36">
        <v>1095</v>
      </c>
      <c r="B1096" s="3" t="s">
        <v>55</v>
      </c>
      <c r="C1096" s="4" t="str">
        <f>"0002255750"</f>
        <v>0002255750</v>
      </c>
      <c r="D1096" s="5" t="str">
        <f>"双曲幾何 / 深谷賢治著.-- 岩波書店; 1996.8.-- (岩波講座現代数学への入門 / 青本和彦 [ほか] 編 ; 16)."</f>
        <v>双曲幾何 / 深谷賢治著.-- 岩波書店; 1996.8.-- (岩波講座現代数学への入門 / 青本和彦 [ほか] 編 ; 16).</v>
      </c>
      <c r="E1096" s="5" t="str">
        <f>""</f>
        <v/>
      </c>
      <c r="F1096" s="26"/>
      <c r="G1096" s="27" t="str">
        <f>"410.8/ｲﾜ/16"</f>
        <v>410.8/ｲﾜ/16</v>
      </c>
      <c r="H1096" s="4" t="str">
        <f>"2000/06/09"</f>
        <v>2000/06/09</v>
      </c>
      <c r="I1096" s="6">
        <v>1795</v>
      </c>
      <c r="J1096" s="6">
        <v>100</v>
      </c>
      <c r="K1096" s="4" t="str">
        <f t="shared" si="60"/>
        <v>1  和書</v>
      </c>
      <c r="L1096" s="7"/>
    </row>
    <row r="1097" spans="1:12" ht="24" x14ac:dyDescent="0.15">
      <c r="A1097" s="36">
        <v>1096</v>
      </c>
      <c r="B1097" s="3" t="s">
        <v>55</v>
      </c>
      <c r="C1097" s="4" t="str">
        <f>"0000520508"</f>
        <v>0000520508</v>
      </c>
      <c r="D1097" s="5" t="str">
        <f>"線形計画法 / 木戸睦彦著.-- 培風館; 1980.4.-- (現代数学レクチャーズ / 赤攝也監修 ; A-6)."</f>
        <v>線形計画法 / 木戸睦彦著.-- 培風館; 1980.4.-- (現代数学レクチャーズ / 赤攝也監修 ; A-6).</v>
      </c>
      <c r="E1097" s="5" t="str">
        <f>""</f>
        <v/>
      </c>
      <c r="F1097" s="26"/>
      <c r="G1097" s="27" t="str">
        <f>"410.8/ｹﾞﾝ/1-6"</f>
        <v>410.8/ｹﾞﾝ/1-6</v>
      </c>
      <c r="H1097" s="4" t="str">
        <f>"1995/01/13"</f>
        <v>1995/01/13</v>
      </c>
      <c r="I1097" s="6">
        <v>2430</v>
      </c>
      <c r="J1097" s="6">
        <v>100</v>
      </c>
      <c r="K1097" s="4" t="str">
        <f t="shared" si="60"/>
        <v>1  和書</v>
      </c>
      <c r="L1097" s="7"/>
    </row>
    <row r="1098" spans="1:12" ht="24" x14ac:dyDescent="0.15">
      <c r="A1098" s="36">
        <v>1097</v>
      </c>
      <c r="B1098" s="3" t="s">
        <v>55</v>
      </c>
      <c r="C1098" s="4" t="str">
        <f>"0001277210"</f>
        <v>0001277210</v>
      </c>
      <c r="D1098" s="5" t="str">
        <f>"ファジィ・ロジック : パラダイム革新のドラマ / D・マクニール, P・フライバーガー著 ; 田中啓子訳.-- 新曜社; 1995.3."</f>
        <v>ファジィ・ロジック : パラダイム革新のドラマ / D・マクニール, P・フライバーガー著 ; 田中啓子訳.-- 新曜社; 1995.3.</v>
      </c>
      <c r="E1098" s="5" t="str">
        <f>""</f>
        <v/>
      </c>
      <c r="F1098" s="26"/>
      <c r="G1098" s="27" t="str">
        <f>"410.9/ﾏｸ"</f>
        <v>410.9/ﾏｸ</v>
      </c>
      <c r="H1098" s="4" t="str">
        <f>"1996/10/14"</f>
        <v>1996/10/14</v>
      </c>
      <c r="I1098" s="6">
        <v>3522</v>
      </c>
      <c r="J1098" s="6">
        <v>100</v>
      </c>
      <c r="K1098" s="4" t="str">
        <f>"1  和書"</f>
        <v>1  和書</v>
      </c>
      <c r="L1098" s="7"/>
    </row>
    <row r="1099" spans="1:12" x14ac:dyDescent="0.15">
      <c r="A1099" s="36">
        <v>1098</v>
      </c>
      <c r="B1099" s="3" t="s">
        <v>55</v>
      </c>
      <c r="C1099" s="4" t="str">
        <f>"0002761411"</f>
        <v>0002761411</v>
      </c>
      <c r="D1099" s="5" t="str">
        <f>"計算論理入門 : 情報の数理 / 田中尚夫著.-- 裳華房; 1997.10."</f>
        <v>計算論理入門 : 情報の数理 / 田中尚夫著.-- 裳華房; 1997.10.</v>
      </c>
      <c r="E1099" s="5" t="str">
        <f>""</f>
        <v/>
      </c>
      <c r="F1099" s="26"/>
      <c r="G1099" s="27" t="str">
        <f>"410.96/ﾀﾅ"</f>
        <v>410.96/ﾀﾅ</v>
      </c>
      <c r="H1099" s="4" t="str">
        <f>"2005/06/27"</f>
        <v>2005/06/27</v>
      </c>
      <c r="I1099" s="6">
        <v>2551</v>
      </c>
      <c r="J1099" s="6">
        <v>100</v>
      </c>
      <c r="K1099" s="4" t="str">
        <f>"1  和書"</f>
        <v>1  和書</v>
      </c>
      <c r="L1099" s="7"/>
    </row>
    <row r="1100" spans="1:12" ht="36" x14ac:dyDescent="0.15">
      <c r="A1100" s="36">
        <v>1099</v>
      </c>
      <c r="B1100" s="3" t="s">
        <v>55</v>
      </c>
      <c r="C1100" s="4" t="str">
        <f>"0001288537"</f>
        <v>0001288537</v>
      </c>
      <c r="D1100" s="5" t="str">
        <f>"An introduction to Kolmogorov complexity and its applications / Ming Li, Paul Vit◆U00E1◆nyi.-- 2nd ed.-- Springer; c1997.-- (Graduate texts in computer science)."</f>
        <v>An introduction to Kolmogorov complexity and its applications / Ming Li, Paul Vit◆U00E1◆nyi.-- 2nd ed.-- Springer; c1997.-- (Graduate texts in computer science).</v>
      </c>
      <c r="E1100" s="5" t="str">
        <f>""</f>
        <v/>
      </c>
      <c r="F1100" s="26"/>
      <c r="G1100" s="27" t="str">
        <f>"410.96/LI"</f>
        <v>410.96/LI</v>
      </c>
      <c r="H1100" s="4" t="str">
        <f>"1997/04/15"</f>
        <v>1997/04/15</v>
      </c>
      <c r="I1100" s="6">
        <v>9232</v>
      </c>
      <c r="J1100" s="6">
        <v>100</v>
      </c>
      <c r="K1100" s="4" t="str">
        <f>"2  洋書"</f>
        <v>2  洋書</v>
      </c>
      <c r="L1100" s="7"/>
    </row>
    <row r="1101" spans="1:12" ht="36" x14ac:dyDescent="0.15">
      <c r="A1101" s="36">
        <v>1100</v>
      </c>
      <c r="B1101" s="3" t="s">
        <v>55</v>
      </c>
      <c r="C1101" s="4" t="str">
        <f>"0001288605"</f>
        <v>0001288605</v>
      </c>
      <c r="D1101" s="5" t="str">
        <f>"An introduction to Kolmogorov complexity and its applications / Ming Li, Paul Vit◆U00E1◆nyi.-- 2nd ed.-- Springer; c1997.-- (Graduate texts in computer science)."</f>
        <v>An introduction to Kolmogorov complexity and its applications / Ming Li, Paul Vit◆U00E1◆nyi.-- 2nd ed.-- Springer; c1997.-- (Graduate texts in computer science).</v>
      </c>
      <c r="E1101" s="5" t="str">
        <f>""</f>
        <v/>
      </c>
      <c r="F1101" s="26"/>
      <c r="G1101" s="27" t="str">
        <f>"410.96/LI"</f>
        <v>410.96/LI</v>
      </c>
      <c r="H1101" s="4" t="str">
        <f>"1997/04/14"</f>
        <v>1997/04/14</v>
      </c>
      <c r="I1101" s="6">
        <v>9147</v>
      </c>
      <c r="J1101" s="6">
        <v>100</v>
      </c>
      <c r="K1101" s="4" t="str">
        <f>"2  洋書"</f>
        <v>2  洋書</v>
      </c>
      <c r="L1101" s="7"/>
    </row>
    <row r="1102" spans="1:12" ht="24" x14ac:dyDescent="0.15">
      <c r="A1102" s="36">
        <v>1101</v>
      </c>
      <c r="B1102" s="3" t="s">
        <v>55</v>
      </c>
      <c r="C1102" s="10" t="str">
        <f>"0000866767"</f>
        <v>0000866767</v>
      </c>
      <c r="D1102" s="11" t="str">
        <f>"Many-sorted logic and its applications / edited by K. Meinke and J.V. Tucker.-- Wiley; c1993.-- (Wiley professional computing)."</f>
        <v>Many-sorted logic and its applications / edited by K. Meinke and J.V. Tucker.-- Wiley; c1993.-- (Wiley professional computing).</v>
      </c>
      <c r="E1102" s="11" t="str">
        <f>""</f>
        <v/>
      </c>
      <c r="F1102" s="28" t="s">
        <v>8</v>
      </c>
      <c r="G1102" s="29" t="str">
        <f>"410.96/ME"</f>
        <v>410.96/ME</v>
      </c>
      <c r="H1102" s="10" t="str">
        <f>"1995/08/09"</f>
        <v>1995/08/09</v>
      </c>
      <c r="I1102" s="12">
        <v>10623</v>
      </c>
      <c r="J1102" s="14">
        <v>500</v>
      </c>
      <c r="K1102" s="10" t="str">
        <f>"2  洋書"</f>
        <v>2  洋書</v>
      </c>
      <c r="L1102" s="13"/>
    </row>
    <row r="1103" spans="1:12" x14ac:dyDescent="0.15">
      <c r="A1103" s="36">
        <v>1102</v>
      </c>
      <c r="B1103" s="3" t="s">
        <v>55</v>
      </c>
      <c r="C1103" s="4" t="str">
        <f>"0002799360"</f>
        <v>0002799360</v>
      </c>
      <c r="D1103" s="5" t="str">
        <f>"入門講義線形代数 / 足立俊明, 山岸正和共著.-- 裳華房; 2007.11."</f>
        <v>入門講義線形代数 / 足立俊明, 山岸正和共著.-- 裳華房; 2007.11.</v>
      </c>
      <c r="E1103" s="5" t="str">
        <f>""</f>
        <v/>
      </c>
      <c r="F1103" s="26"/>
      <c r="G1103" s="27" t="str">
        <f>"411.3/ｱﾀﾞ"</f>
        <v>411.3/ｱﾀﾞ</v>
      </c>
      <c r="H1103" s="4" t="str">
        <f>"2011/10/28"</f>
        <v>2011/10/28</v>
      </c>
      <c r="I1103" s="6">
        <v>2625</v>
      </c>
      <c r="J1103" s="6">
        <v>100</v>
      </c>
      <c r="K1103" s="4" t="str">
        <f t="shared" ref="K1103:K1117" si="61">"1  和書"</f>
        <v>1  和書</v>
      </c>
      <c r="L1103" s="7"/>
    </row>
    <row r="1104" spans="1:12" x14ac:dyDescent="0.15">
      <c r="A1104" s="36">
        <v>1103</v>
      </c>
      <c r="B1104" s="3" t="s">
        <v>55</v>
      </c>
      <c r="C1104" s="4" t="str">
        <f>"0002283371"</f>
        <v>0002283371</v>
      </c>
      <c r="D1104" s="5" t="str">
        <f>"新課程線形代数演習 / 石原繁著.-- 共立出版; 1998.10."</f>
        <v>新課程線形代数演習 / 石原繁著.-- 共立出版; 1998.10.</v>
      </c>
      <c r="E1104" s="5" t="str">
        <f>""</f>
        <v/>
      </c>
      <c r="F1104" s="26"/>
      <c r="G1104" s="27" t="str">
        <f>"411.3/ｲｼ"</f>
        <v>411.3/ｲｼ</v>
      </c>
      <c r="H1104" s="4" t="str">
        <f>"2002/05/28"</f>
        <v>2002/05/28</v>
      </c>
      <c r="I1104" s="6">
        <v>1795</v>
      </c>
      <c r="J1104" s="6">
        <v>100</v>
      </c>
      <c r="K1104" s="4" t="str">
        <f t="shared" si="61"/>
        <v>1  和書</v>
      </c>
      <c r="L1104" s="7"/>
    </row>
    <row r="1105" spans="1:12" x14ac:dyDescent="0.15">
      <c r="A1105" s="36">
        <v>1104</v>
      </c>
      <c r="B1105" s="3" t="s">
        <v>55</v>
      </c>
      <c r="C1105" s="4" t="str">
        <f>"0002266626"</f>
        <v>0002266626</v>
      </c>
      <c r="D1105" s="5" t="str">
        <f>"線形代数概説 / 内田伏一, 浦川肇共著.-- 裳華房; 2000.10."</f>
        <v>線形代数概説 / 内田伏一, 浦川肇共著.-- 裳華房; 2000.10.</v>
      </c>
      <c r="E1105" s="5" t="str">
        <f>""</f>
        <v/>
      </c>
      <c r="F1105" s="26"/>
      <c r="G1105" s="27" t="str">
        <f>"411.3/ｳﾁ"</f>
        <v>411.3/ｳﾁ</v>
      </c>
      <c r="H1105" s="4" t="str">
        <f>"2001/05/08"</f>
        <v>2001/05/08</v>
      </c>
      <c r="I1105" s="6">
        <v>1890</v>
      </c>
      <c r="J1105" s="6">
        <v>100</v>
      </c>
      <c r="K1105" s="4" t="str">
        <f t="shared" si="61"/>
        <v>1  和書</v>
      </c>
      <c r="L1105" s="7"/>
    </row>
    <row r="1106" spans="1:12" ht="24" x14ac:dyDescent="0.15">
      <c r="A1106" s="36">
        <v>1105</v>
      </c>
      <c r="B1106" s="3" t="s">
        <v>55</v>
      </c>
      <c r="C1106" s="4" t="str">
        <f>"0000632775"</f>
        <v>0000632775</v>
      </c>
      <c r="D1106" s="5" t="str">
        <f>"線型代数入門 / 齋藤正彦著.-- 東京大学出版会; 1966.3.-- (基礎数学 ; 1)."</f>
        <v>線型代数入門 / 齋藤正彦著.-- 東京大学出版会; 1966.3.-- (基礎数学 ; 1).</v>
      </c>
      <c r="E1106" s="5" t="str">
        <f>""</f>
        <v/>
      </c>
      <c r="F1106" s="26"/>
      <c r="G1106" s="27" t="str">
        <f>"411.3/ｻｲ"</f>
        <v>411.3/ｻｲ</v>
      </c>
      <c r="H1106" s="4" t="str">
        <f>"1995/03/31"</f>
        <v>1995/03/31</v>
      </c>
      <c r="I1106" s="6">
        <v>1507</v>
      </c>
      <c r="J1106" s="6">
        <v>100</v>
      </c>
      <c r="K1106" s="4" t="str">
        <f t="shared" si="61"/>
        <v>1  和書</v>
      </c>
      <c r="L1106" s="7"/>
    </row>
    <row r="1107" spans="1:12" ht="24" x14ac:dyDescent="0.15">
      <c r="A1107" s="36">
        <v>1106</v>
      </c>
      <c r="B1107" s="3" t="s">
        <v>55</v>
      </c>
      <c r="C1107" s="4" t="str">
        <f>"0001666083"</f>
        <v>0001666083</v>
      </c>
      <c r="D1107" s="5" t="str">
        <f>"線型代数演習 / 齋藤正彦著.-- 東京大学出版会; 1985.3.-- (基礎数学 ; 4)."</f>
        <v>線型代数演習 / 齋藤正彦著.-- 東京大学出版会; 1985.3.-- (基礎数学 ; 4).</v>
      </c>
      <c r="E1107" s="5" t="str">
        <f>""</f>
        <v/>
      </c>
      <c r="F1107" s="26"/>
      <c r="G1107" s="27" t="str">
        <f>"411.3/ｻｲ"</f>
        <v>411.3/ｻｲ</v>
      </c>
      <c r="H1107" s="4" t="str">
        <f>"1998/02/22"</f>
        <v>1998/02/22</v>
      </c>
      <c r="I1107" s="6">
        <v>2079</v>
      </c>
      <c r="J1107" s="6">
        <v>100</v>
      </c>
      <c r="K1107" s="4" t="str">
        <f t="shared" si="61"/>
        <v>1  和書</v>
      </c>
      <c r="L1107" s="7"/>
    </row>
    <row r="1108" spans="1:12" ht="24" x14ac:dyDescent="0.15">
      <c r="A1108" s="36">
        <v>1107</v>
      </c>
      <c r="B1108" s="3" t="s">
        <v>55</v>
      </c>
      <c r="C1108" s="4" t="str">
        <f>"0002266640"</f>
        <v>0002266640</v>
      </c>
      <c r="D1108" s="5" t="str">
        <f>"キーポイント線形代数 / 薩摩順吉, 四ツ谷晶二著.-- 岩波書店; 1992.10.-- (理工系数学のキーポイント / 和達三樹, 薩摩順吉編 ; 2)."</f>
        <v>キーポイント線形代数 / 薩摩順吉, 四ツ谷晶二著.-- 岩波書店; 1992.10.-- (理工系数学のキーポイント / 和達三樹, 薩摩順吉編 ; 2).</v>
      </c>
      <c r="E1108" s="5" t="str">
        <f>""</f>
        <v/>
      </c>
      <c r="F1108" s="26"/>
      <c r="G1108" s="27" t="str">
        <f>"411.3/ｻﾂ"</f>
        <v>411.3/ｻﾂ</v>
      </c>
      <c r="H1108" s="4" t="str">
        <f>"2001/05/08"</f>
        <v>2001/05/08</v>
      </c>
      <c r="I1108" s="6">
        <v>2079</v>
      </c>
      <c r="J1108" s="6">
        <v>100</v>
      </c>
      <c r="K1108" s="4" t="str">
        <f t="shared" si="61"/>
        <v>1  和書</v>
      </c>
      <c r="L1108" s="7"/>
    </row>
    <row r="1109" spans="1:12" ht="24" x14ac:dyDescent="0.15">
      <c r="A1109" s="36">
        <v>1108</v>
      </c>
      <c r="B1109" s="3" t="s">
        <v>55</v>
      </c>
      <c r="C1109" s="4" t="str">
        <f>"0002766263"</f>
        <v>0002766263</v>
      </c>
      <c r="D1109" s="5" t="str">
        <f>"キーポイント線形代数 / 薩摩順吉, 四ツ谷晶二著.-- 岩波書店; 1992.10.-- (理工系数学のキーポイント / 和達三樹, 薩摩順吉編 ; 2)."</f>
        <v>キーポイント線形代数 / 薩摩順吉, 四ツ谷晶二著.-- 岩波書店; 1992.10.-- (理工系数学のキーポイント / 和達三樹, 薩摩順吉編 ; 2).</v>
      </c>
      <c r="E1109" s="5" t="str">
        <f>""</f>
        <v/>
      </c>
      <c r="F1109" s="26"/>
      <c r="G1109" s="27" t="str">
        <f>"411.3/ｻﾂ"</f>
        <v>411.3/ｻﾂ</v>
      </c>
      <c r="H1109" s="4" t="str">
        <f>"2006/07/28"</f>
        <v>2006/07/28</v>
      </c>
      <c r="I1109" s="6">
        <v>2079</v>
      </c>
      <c r="J1109" s="6">
        <v>100</v>
      </c>
      <c r="K1109" s="4" t="str">
        <f t="shared" si="61"/>
        <v>1  和書</v>
      </c>
      <c r="L1109" s="7"/>
    </row>
    <row r="1110" spans="1:12" x14ac:dyDescent="0.15">
      <c r="A1110" s="36">
        <v>1109</v>
      </c>
      <c r="B1110" s="3" t="s">
        <v>55</v>
      </c>
      <c r="C1110" s="4" t="str">
        <f>"0002283388"</f>
        <v>0002283388</v>
      </c>
      <c r="D1110" s="5" t="str">
        <f>"エクササイズ線形代数 / 立花俊一, 成田清正著.-- 共立出版; 1994.12."</f>
        <v>エクササイズ線形代数 / 立花俊一, 成田清正著.-- 共立出版; 1994.12.</v>
      </c>
      <c r="E1110" s="5" t="str">
        <f>""</f>
        <v/>
      </c>
      <c r="F1110" s="26"/>
      <c r="G1110" s="27" t="str">
        <f>"411.3/ﾀﾁ"</f>
        <v>411.3/ﾀﾁ</v>
      </c>
      <c r="H1110" s="4" t="str">
        <f>"2002/05/28"</f>
        <v>2002/05/28</v>
      </c>
      <c r="I1110" s="6">
        <v>1890</v>
      </c>
      <c r="J1110" s="6">
        <v>100</v>
      </c>
      <c r="K1110" s="4" t="str">
        <f t="shared" si="61"/>
        <v>1  和書</v>
      </c>
      <c r="L1110" s="7"/>
    </row>
    <row r="1111" spans="1:12" ht="24" x14ac:dyDescent="0.15">
      <c r="A1111" s="36">
        <v>1110</v>
      </c>
      <c r="B1111" s="3" t="s">
        <v>55</v>
      </c>
      <c r="C1111" s="4" t="str">
        <f>"0002283364"</f>
        <v>0002283364</v>
      </c>
      <c r="D1111" s="5" t="str">
        <f>"演習と応用線形代数 / 寺田文行, 木村宣昭共著.-- サイエンス社; 2000.7.-- (新・演習数学ライブラリ ; 1)."</f>
        <v>演習と応用線形代数 / 寺田文行, 木村宣昭共著.-- サイエンス社; 2000.7.-- (新・演習数学ライブラリ ; 1).</v>
      </c>
      <c r="E1111" s="5" t="str">
        <f>""</f>
        <v/>
      </c>
      <c r="F1111" s="26"/>
      <c r="G1111" s="27" t="str">
        <f>"411.3/ﾃﾗ"</f>
        <v>411.3/ﾃﾗ</v>
      </c>
      <c r="H1111" s="4" t="str">
        <f>"2002/05/28"</f>
        <v>2002/05/28</v>
      </c>
      <c r="I1111" s="6">
        <v>1606</v>
      </c>
      <c r="J1111" s="6">
        <v>100</v>
      </c>
      <c r="K1111" s="4" t="str">
        <f t="shared" si="61"/>
        <v>1  和書</v>
      </c>
      <c r="L1111" s="7"/>
    </row>
    <row r="1112" spans="1:12" ht="24" x14ac:dyDescent="0.15">
      <c r="A1112" s="36">
        <v>1111</v>
      </c>
      <c r="B1112" s="3" t="s">
        <v>55</v>
      </c>
      <c r="C1112" s="4" t="str">
        <f>"0001666090"</f>
        <v>0001666090</v>
      </c>
      <c r="D1112" s="5" t="str">
        <f>"理工系の基礎線形代数学 / 硲野敏博, 加藤芳文共著.-- 学術図書出版社; 1994.4."</f>
        <v>理工系の基礎線形代数学 / 硲野敏博, 加藤芳文共著.-- 学術図書出版社; 1994.4.</v>
      </c>
      <c r="E1112" s="5" t="str">
        <f>""</f>
        <v/>
      </c>
      <c r="F1112" s="26"/>
      <c r="G1112" s="27" t="str">
        <f>"411.3/ﾊﾀﾞ"</f>
        <v>411.3/ﾊﾀﾞ</v>
      </c>
      <c r="H1112" s="4" t="str">
        <f>"1998/02/22"</f>
        <v>1998/02/22</v>
      </c>
      <c r="I1112" s="6">
        <v>1795</v>
      </c>
      <c r="J1112" s="6">
        <v>100</v>
      </c>
      <c r="K1112" s="4" t="str">
        <f t="shared" si="61"/>
        <v>1  和書</v>
      </c>
      <c r="L1112" s="7"/>
    </row>
    <row r="1113" spans="1:12" ht="24" x14ac:dyDescent="0.15">
      <c r="A1113" s="36">
        <v>1112</v>
      </c>
      <c r="B1113" s="3" t="s">
        <v>55</v>
      </c>
      <c r="C1113" s="4" t="str">
        <f>"0002766768"</f>
        <v>0002766768</v>
      </c>
      <c r="D1113" s="5" t="str">
        <f>"プログラミングのための線形代数 / 平岡和幸, 堀玄共著.-- オーム社; 2004.10."</f>
        <v>プログラミングのための線形代数 / 平岡和幸, 堀玄共著.-- オーム社; 2004.10.</v>
      </c>
      <c r="E1113" s="5" t="str">
        <f>""</f>
        <v/>
      </c>
      <c r="F1113" s="26"/>
      <c r="G1113" s="27" t="str">
        <f>"411.3/ﾋﾗ"</f>
        <v>411.3/ﾋﾗ</v>
      </c>
      <c r="H1113" s="4" t="str">
        <f>"2006/09/06"</f>
        <v>2006/09/06</v>
      </c>
      <c r="I1113" s="6">
        <v>2835</v>
      </c>
      <c r="J1113" s="6">
        <v>100</v>
      </c>
      <c r="K1113" s="4" t="str">
        <f t="shared" si="61"/>
        <v>1  和書</v>
      </c>
      <c r="L1113" s="7"/>
    </row>
    <row r="1114" spans="1:12" ht="24" x14ac:dyDescent="0.15">
      <c r="A1114" s="36">
        <v>1113</v>
      </c>
      <c r="B1114" s="3" t="s">
        <v>55</v>
      </c>
      <c r="C1114" s="4" t="str">
        <f>"0000165761"</f>
        <v>0000165761</v>
      </c>
      <c r="D1114" s="5" t="str">
        <f>"線形代数と凸解析 / 布川昊, 中山弘隆, 谷野哲三共著.-- コロナ社; 1991.1.-- (現代応用数学講座 ; 8)."</f>
        <v>線形代数と凸解析 / 布川昊, 中山弘隆, 谷野哲三共著.-- コロナ社; 1991.1.-- (現代応用数学講座 ; 8).</v>
      </c>
      <c r="E1114" s="5" t="str">
        <f>""</f>
        <v/>
      </c>
      <c r="F1114" s="26"/>
      <c r="G1114" s="27" t="str">
        <f>"411.3/ﾌｶ"</f>
        <v>411.3/ﾌｶ</v>
      </c>
      <c r="H1114" s="4" t="str">
        <f>"1994/03/31"</f>
        <v>1994/03/31</v>
      </c>
      <c r="I1114" s="6">
        <v>2909</v>
      </c>
      <c r="J1114" s="6">
        <v>100</v>
      </c>
      <c r="K1114" s="4" t="str">
        <f t="shared" si="61"/>
        <v>1  和書</v>
      </c>
      <c r="L1114" s="7"/>
    </row>
    <row r="1115" spans="1:12" ht="36" x14ac:dyDescent="0.15">
      <c r="A1115" s="36">
        <v>1114</v>
      </c>
      <c r="B1115" s="3" t="s">
        <v>55</v>
      </c>
      <c r="C1115" s="4" t="str">
        <f>"0002767567"</f>
        <v>0002767567</v>
      </c>
      <c r="D1115" s="5" t="str">
        <f>"Matrix computations / Gene H. Golub, Charles F. Van Loan ; : pbk.-- 3rd ed.-- Johns Hopkins University Press; 1996.-- (Johns Hopkins studies in the mathematical sciences)."</f>
        <v>Matrix computations / Gene H. Golub, Charles F. Van Loan ; : pbk.-- 3rd ed.-- Johns Hopkins University Press; 1996.-- (Johns Hopkins studies in the mathematical sciences).</v>
      </c>
      <c r="E1115" s="5" t="str">
        <f>": pbk"</f>
        <v>: pbk</v>
      </c>
      <c r="F1115" s="26"/>
      <c r="G1115" s="27" t="str">
        <f>"411.3/GO"</f>
        <v>411.3/GO</v>
      </c>
      <c r="H1115" s="4" t="str">
        <f>"2006/12/07"</f>
        <v>2006/12/07</v>
      </c>
      <c r="I1115" s="6">
        <v>7815</v>
      </c>
      <c r="J1115" s="6">
        <v>100</v>
      </c>
      <c r="K1115" s="4" t="str">
        <f>"2  洋書"</f>
        <v>2  洋書</v>
      </c>
      <c r="L1115" s="7"/>
    </row>
    <row r="1116" spans="1:12" ht="36" x14ac:dyDescent="0.15">
      <c r="A1116" s="36">
        <v>1115</v>
      </c>
      <c r="B1116" s="3" t="s">
        <v>55</v>
      </c>
      <c r="C1116" s="4" t="str">
        <f>"0002766393"</f>
        <v>0002766393</v>
      </c>
      <c r="D1116" s="5" t="str">
        <f>"素数が香り、形がきこえる : 目で見る2次形式からはじまる数学 / J.H.コンウェイ著 ; 細川尋史訳.-- シュプリンガー・フェアラーク東京; 2006.7.-- (シュプリンガー数学リーディングス ; 第10巻)."</f>
        <v>素数が香り、形がきこえる : 目で見る2次形式からはじまる数学 / J.H.コンウェイ著 ; 細川尋史訳.-- シュプリンガー・フェアラーク東京; 2006.7.-- (シュプリンガー数学リーディングス ; 第10巻).</v>
      </c>
      <c r="E1116" s="5" t="str">
        <f>""</f>
        <v/>
      </c>
      <c r="F1116" s="26"/>
      <c r="G1116" s="27" t="str">
        <f>"411.5/ｺﾝ"</f>
        <v>411.5/ｺﾝ</v>
      </c>
      <c r="H1116" s="4" t="str">
        <f>"2006/08/11"</f>
        <v>2006/08/11</v>
      </c>
      <c r="I1116" s="6">
        <v>2173</v>
      </c>
      <c r="J1116" s="6">
        <v>100</v>
      </c>
      <c r="K1116" s="4" t="str">
        <f t="shared" si="61"/>
        <v>1  和書</v>
      </c>
      <c r="L1116" s="7"/>
    </row>
    <row r="1117" spans="1:12" ht="24" x14ac:dyDescent="0.15">
      <c r="A1117" s="36">
        <v>1116</v>
      </c>
      <c r="B1117" s="3" t="s">
        <v>55</v>
      </c>
      <c r="C1117" s="4" t="str">
        <f>"0002766317"</f>
        <v>0002766317</v>
      </c>
      <c r="D1117" s="5" t="str">
        <f>"キーポイント行列と変換群 / 梁成吉著.-- 岩波書店; 1996.11.-- (理工系数学のキーポイント / 和達三樹, 薩摩順吉編 ; 8)."</f>
        <v>キーポイント行列と変換群 / 梁成吉著.-- 岩波書店; 1996.11.-- (理工系数学のキーポイント / 和達三樹, 薩摩順吉編 ; 8).</v>
      </c>
      <c r="E1117" s="5" t="str">
        <f>""</f>
        <v/>
      </c>
      <c r="F1117" s="26"/>
      <c r="G1117" s="27" t="str">
        <f>"411.6/ﾔﾝ"</f>
        <v>411.6/ﾔﾝ</v>
      </c>
      <c r="H1117" s="4" t="str">
        <f>"2006/07/31"</f>
        <v>2006/07/31</v>
      </c>
      <c r="I1117" s="6">
        <v>2268</v>
      </c>
      <c r="J1117" s="6">
        <v>100</v>
      </c>
      <c r="K1117" s="4" t="str">
        <f t="shared" si="61"/>
        <v>1  和書</v>
      </c>
      <c r="L1117" s="7"/>
    </row>
    <row r="1118" spans="1:12" ht="36" x14ac:dyDescent="0.15">
      <c r="A1118" s="36">
        <v>1117</v>
      </c>
      <c r="B1118" s="3" t="s">
        <v>55</v>
      </c>
      <c r="C1118" s="4" t="str">
        <f>"0001282436"</f>
        <v>0001282436</v>
      </c>
      <c r="D1118" s="5" t="str">
        <f>"Epipolar geometry in stereo, motion, and object recognition : a unified approach / by Gang X◆U00FA◆, Zhengyou Zhang.-- Kluwer Academic Publishers; c1996.-- (Computational imaging and vision ; v. 6)."</f>
        <v>Epipolar geometry in stereo, motion, and object recognition : a unified approach / by Gang X◆U00FA◆, Zhengyou Zhang.-- Kluwer Academic Publishers; c1996.-- (Computational imaging and vision ; v. 6).</v>
      </c>
      <c r="E1118" s="5" t="str">
        <f>""</f>
        <v/>
      </c>
      <c r="F1118" s="26"/>
      <c r="G1118" s="27" t="str">
        <f>"412/XU"</f>
        <v>412/XU</v>
      </c>
      <c r="H1118" s="4" t="str">
        <f>"1996/12/19"</f>
        <v>1996/12/19</v>
      </c>
      <c r="I1118" s="6">
        <v>21571</v>
      </c>
      <c r="J1118" s="8">
        <v>1000</v>
      </c>
      <c r="K1118" s="4" t="str">
        <f>"2  洋書"</f>
        <v>2  洋書</v>
      </c>
      <c r="L1118" s="7"/>
    </row>
    <row r="1119" spans="1:12" x14ac:dyDescent="0.15">
      <c r="A1119" s="36">
        <v>1118</v>
      </c>
      <c r="B1119" s="3" t="s">
        <v>55</v>
      </c>
      <c r="C1119" s="4" t="str">
        <f>"0002766256"</f>
        <v>0002766256</v>
      </c>
      <c r="D1119" s="5" t="str">
        <f>"理・工基礎解析学 / 田辺行人, 大高一雄著.-- 裳華房; 1987.3."</f>
        <v>理・工基礎解析学 / 田辺行人, 大高一雄著.-- 裳華房; 1987.3.</v>
      </c>
      <c r="E1119" s="5" t="str">
        <f>""</f>
        <v/>
      </c>
      <c r="F1119" s="26"/>
      <c r="G1119" s="27" t="str">
        <f>"413/ﾀﾅ"</f>
        <v>413/ﾀﾅ</v>
      </c>
      <c r="H1119" s="4" t="str">
        <f>"2006/08/03"</f>
        <v>2006/08/03</v>
      </c>
      <c r="I1119" s="6">
        <v>2362</v>
      </c>
      <c r="J1119" s="6">
        <v>100</v>
      </c>
      <c r="K1119" s="4" t="str">
        <f t="shared" ref="K1119:K1206" si="62">"1  和書"</f>
        <v>1  和書</v>
      </c>
      <c r="L1119" s="7"/>
    </row>
    <row r="1120" spans="1:12" ht="24" x14ac:dyDescent="0.15">
      <c r="A1120" s="36">
        <v>1119</v>
      </c>
      <c r="B1120" s="3" t="s">
        <v>55</v>
      </c>
      <c r="C1120" s="4" t="str">
        <f>"0002757216"</f>
        <v>0002757216</v>
      </c>
      <c r="D1120" s="5" t="str">
        <f>"応用解析概説 / 堤正義,福田勇共著.-- サイエンス社; 1985.12.-- (サイエンステキストライブラリ ; 8)."</f>
        <v>応用解析概説 / 堤正義,福田勇共著.-- サイエンス社; 1985.12.-- (サイエンステキストライブラリ ; 8).</v>
      </c>
      <c r="E1120" s="5" t="str">
        <f>""</f>
        <v/>
      </c>
      <c r="F1120" s="26"/>
      <c r="G1120" s="27" t="str">
        <f>"413/ﾂﾂ"</f>
        <v>413/ﾂﾂ</v>
      </c>
      <c r="H1120" s="4" t="str">
        <f>"2004/10/08"</f>
        <v>2004/10/08</v>
      </c>
      <c r="I1120" s="6">
        <v>1512</v>
      </c>
      <c r="J1120" s="6">
        <v>100</v>
      </c>
      <c r="K1120" s="4" t="str">
        <f t="shared" si="62"/>
        <v>1  和書</v>
      </c>
      <c r="L1120" s="7"/>
    </row>
    <row r="1121" spans="1:12" ht="24" x14ac:dyDescent="0.15">
      <c r="A1121" s="36">
        <v>1120</v>
      </c>
      <c r="B1121" s="3" t="s">
        <v>55</v>
      </c>
      <c r="C1121" s="4" t="str">
        <f>"0002762814"</f>
        <v>0002762814</v>
      </c>
      <c r="D1121" s="5" t="str">
        <f>"解析学序説 / 一松信著 ; 上巻, 下巻.-- 新版.-- 裳華房; 1981.12-1982.5."</f>
        <v>解析学序説 / 一松信著 ; 上巻, 下巻.-- 新版.-- 裳華房; 1981.12-1982.5.</v>
      </c>
      <c r="E1121" s="5" t="str">
        <f>"上巻"</f>
        <v>上巻</v>
      </c>
      <c r="F1121" s="26"/>
      <c r="G1121" s="27" t="str">
        <f>"413/ﾋﾄ/1"</f>
        <v>413/ﾋﾄ/1</v>
      </c>
      <c r="H1121" s="4" t="str">
        <f>"2005/10/24"</f>
        <v>2005/10/24</v>
      </c>
      <c r="I1121" s="6">
        <v>3570</v>
      </c>
      <c r="J1121" s="6">
        <v>100</v>
      </c>
      <c r="K1121" s="4" t="str">
        <f t="shared" si="62"/>
        <v>1  和書</v>
      </c>
      <c r="L1121" s="7"/>
    </row>
    <row r="1122" spans="1:12" ht="24" x14ac:dyDescent="0.15">
      <c r="A1122" s="36">
        <v>1121</v>
      </c>
      <c r="B1122" s="3" t="s">
        <v>55</v>
      </c>
      <c r="C1122" s="4" t="str">
        <f>"0002762821"</f>
        <v>0002762821</v>
      </c>
      <c r="D1122" s="5" t="str">
        <f>"解析学序説 / 一松信著 ; 上巻, 下巻.-- 新版.-- 裳華房; 1981.12-1982.5."</f>
        <v>解析学序説 / 一松信著 ; 上巻, 下巻.-- 新版.-- 裳華房; 1981.12-1982.5.</v>
      </c>
      <c r="E1122" s="5" t="str">
        <f>"下巻"</f>
        <v>下巻</v>
      </c>
      <c r="F1122" s="26"/>
      <c r="G1122" s="27" t="str">
        <f>"413/ﾋﾄ/2"</f>
        <v>413/ﾋﾄ/2</v>
      </c>
      <c r="H1122" s="4" t="str">
        <f>"2005/10/24"</f>
        <v>2005/10/24</v>
      </c>
      <c r="I1122" s="6">
        <v>3675</v>
      </c>
      <c r="J1122" s="6">
        <v>100</v>
      </c>
      <c r="K1122" s="4" t="str">
        <f t="shared" si="62"/>
        <v>1  和書</v>
      </c>
      <c r="L1122" s="7"/>
    </row>
    <row r="1123" spans="1:12" ht="36" x14ac:dyDescent="0.15">
      <c r="A1123" s="36">
        <v>1122</v>
      </c>
      <c r="B1123" s="3" t="s">
        <v>55</v>
      </c>
      <c r="C1123" s="4" t="str">
        <f>"0000486385"</f>
        <v>0000486385</v>
      </c>
      <c r="D1123" s="5" t="str">
        <f>"Introduction to interval computations / [by] G◆U00F6◆tz Alefeld, J◆U00FC◆rgen Herzberger ; translated by Jon Rokne.-- Academic Press; 1983.-- (Computer science and applied mathematics)."</f>
        <v>Introduction to interval computations / [by] G◆U00F6◆tz Alefeld, J◆U00FC◆rgen Herzberger ; translated by Jon Rokne.-- Academic Press; 1983.-- (Computer science and applied mathematics).</v>
      </c>
      <c r="E1123" s="5" t="str">
        <f>""</f>
        <v/>
      </c>
      <c r="F1123" s="26"/>
      <c r="G1123" s="27" t="str">
        <f>"413/AL"</f>
        <v>413/AL</v>
      </c>
      <c r="H1123" s="4" t="str">
        <f>"1994/10/05"</f>
        <v>1994/10/05</v>
      </c>
      <c r="I1123" s="6">
        <v>14183</v>
      </c>
      <c r="J1123" s="8">
        <v>500</v>
      </c>
      <c r="K1123" s="4" t="str">
        <f>"2  洋書"</f>
        <v>2  洋書</v>
      </c>
      <c r="L1123" s="7"/>
    </row>
    <row r="1124" spans="1:12" ht="24" x14ac:dyDescent="0.15">
      <c r="A1124" s="36">
        <v>1123</v>
      </c>
      <c r="B1124" s="3" t="s">
        <v>55</v>
      </c>
      <c r="C1124" s="4" t="str">
        <f>"0002287652"</f>
        <v>0002287652</v>
      </c>
      <c r="D1124" s="5" t="str">
        <f>"見る微分積分学 : Mathematicaによるイメージトレーニング / 井上真著 ; [本冊], CD-ROM.-- 東京電機大学出版局; 1997.4."</f>
        <v>見る微分積分学 : Mathematicaによるイメージトレーニング / 井上真著 ; [本冊], CD-ROM.-- 東京電機大学出版局; 1997.4.</v>
      </c>
      <c r="E1124" s="5" t="str">
        <f>"[本冊]"</f>
        <v>[本冊]</v>
      </c>
      <c r="F1124" s="26"/>
      <c r="G1124" s="27" t="str">
        <f>"413.3/ｲﾉ"</f>
        <v>413.3/ｲﾉ</v>
      </c>
      <c r="H1124" s="4" t="str">
        <f>"2002/10/31"</f>
        <v>2002/10/31</v>
      </c>
      <c r="I1124" s="6">
        <v>3118</v>
      </c>
      <c r="J1124" s="6">
        <v>100</v>
      </c>
      <c r="K1124" s="4" t="str">
        <f t="shared" ref="K1124:K1138" si="63">"1  和書"</f>
        <v>1  和書</v>
      </c>
      <c r="L1124" s="7"/>
    </row>
    <row r="1125" spans="1:12" ht="24" x14ac:dyDescent="0.15">
      <c r="A1125" s="36">
        <v>1124</v>
      </c>
      <c r="B1125" s="3" t="s">
        <v>55</v>
      </c>
      <c r="C1125" s="4" t="str">
        <f>"0002799377"</f>
        <v>0002799377</v>
      </c>
      <c r="D1125" s="5" t="str">
        <f>"理工系新課程微分積分 : 基礎から応用まで / 数見哲也 [ほか] 共著.-- 培風館; 2006.5."</f>
        <v>理工系新課程微分積分 : 基礎から応用まで / 数見哲也 [ほか] 共著.-- 培風館; 2006.5.</v>
      </c>
      <c r="E1125" s="5" t="str">
        <f>""</f>
        <v/>
      </c>
      <c r="F1125" s="26"/>
      <c r="G1125" s="27" t="str">
        <f>"413.3/ｶｽﾞ"</f>
        <v>413.3/ｶｽﾞ</v>
      </c>
      <c r="H1125" s="4" t="str">
        <f>"2011/10/28"</f>
        <v>2011/10/28</v>
      </c>
      <c r="I1125" s="6">
        <v>2310</v>
      </c>
      <c r="J1125" s="6">
        <v>100</v>
      </c>
      <c r="K1125" s="4" t="str">
        <f t="shared" si="63"/>
        <v>1  和書</v>
      </c>
      <c r="L1125" s="7"/>
    </row>
    <row r="1126" spans="1:12" ht="24" x14ac:dyDescent="0.15">
      <c r="A1126" s="36">
        <v>1125</v>
      </c>
      <c r="B1126" s="3" t="s">
        <v>55</v>
      </c>
      <c r="C1126" s="4" t="str">
        <f>"0002762432"</f>
        <v>0002762432</v>
      </c>
      <c r="D1126" s="5" t="str">
        <f>"数理系のための基礎と応用微分積分 : 理論を中心に / 金子晃著 ; 1, 2.-- サイエンス社; 2000.9-2001.7.-- (ライブラリ理工新数学 ; T1-T2)."</f>
        <v>数理系のための基礎と応用微分積分 : 理論を中心に / 金子晃著 ; 1, 2.-- サイエンス社; 2000.9-2001.7.-- (ライブラリ理工新数学 ; T1-T2).</v>
      </c>
      <c r="E1126" s="5" t="str">
        <f>"1"</f>
        <v>1</v>
      </c>
      <c r="F1126" s="26"/>
      <c r="G1126" s="27" t="str">
        <f>"413.3/ｶﾈ/1"</f>
        <v>413.3/ｶﾈ/1</v>
      </c>
      <c r="H1126" s="4" t="str">
        <f>"2005/09/26"</f>
        <v>2005/09/26</v>
      </c>
      <c r="I1126" s="6">
        <v>1701</v>
      </c>
      <c r="J1126" s="6">
        <v>100</v>
      </c>
      <c r="K1126" s="4" t="str">
        <f t="shared" si="63"/>
        <v>1  和書</v>
      </c>
      <c r="L1126" s="7"/>
    </row>
    <row r="1127" spans="1:12" x14ac:dyDescent="0.15">
      <c r="A1127" s="36">
        <v>1126</v>
      </c>
      <c r="B1127" s="3" t="s">
        <v>55</v>
      </c>
      <c r="C1127" s="4" t="str">
        <f>"0000565387"</f>
        <v>0000565387</v>
      </c>
      <c r="D1127" s="5" t="str">
        <f>"基礎微分積分演習 / 後藤憲一, 貴田宗三郎共編.-- 共立出版; 1991.1."</f>
        <v>基礎微分積分演習 / 後藤憲一, 貴田宗三郎共編.-- 共立出版; 1991.1.</v>
      </c>
      <c r="E1127" s="5" t="str">
        <f>""</f>
        <v/>
      </c>
      <c r="F1127" s="26"/>
      <c r="G1127" s="27" t="str">
        <f>"413.3/ｺﾞﾄ"</f>
        <v>413.3/ｺﾞﾄ</v>
      </c>
      <c r="H1127" s="4" t="str">
        <f>"1995/03/31"</f>
        <v>1995/03/31</v>
      </c>
      <c r="I1127" s="6">
        <v>1842</v>
      </c>
      <c r="J1127" s="6">
        <v>100</v>
      </c>
      <c r="K1127" s="4" t="str">
        <f t="shared" si="63"/>
        <v>1  和書</v>
      </c>
      <c r="L1127" s="7"/>
    </row>
    <row r="1128" spans="1:12" ht="24" x14ac:dyDescent="0.15">
      <c r="A1128" s="36">
        <v>1127</v>
      </c>
      <c r="B1128" s="3" t="s">
        <v>55</v>
      </c>
      <c r="C1128" s="4" t="str">
        <f>"0002756493"</f>
        <v>0002756493</v>
      </c>
      <c r="D1128" s="5" t="str">
        <f>"多変数 / 小林昭七著.-- 裳華房; 2001.8.-- (微分積分読本 / 小林昭七著 ; 続)."</f>
        <v>多変数 / 小林昭七著.-- 裳華房; 2001.8.-- (微分積分読本 / 小林昭七著 ; 続).</v>
      </c>
      <c r="E1128" s="5" t="str">
        <f>""</f>
        <v/>
      </c>
      <c r="F1128" s="26"/>
      <c r="G1128" s="27" t="str">
        <f>"413.3/ｺﾊﾞ/2"</f>
        <v>413.3/ｺﾊﾞ/2</v>
      </c>
      <c r="H1128" s="4" t="str">
        <f>"2004/08/23"</f>
        <v>2004/08/23</v>
      </c>
      <c r="I1128" s="6">
        <v>2079</v>
      </c>
      <c r="J1128" s="6">
        <v>100</v>
      </c>
      <c r="K1128" s="4" t="str">
        <f t="shared" si="63"/>
        <v>1  和書</v>
      </c>
      <c r="L1128" s="7"/>
    </row>
    <row r="1129" spans="1:12" x14ac:dyDescent="0.15">
      <c r="A1129" s="36">
        <v>1128</v>
      </c>
      <c r="B1129" s="3" t="s">
        <v>55</v>
      </c>
      <c r="C1129" s="4" t="str">
        <f>"0001679656"</f>
        <v>0001679656</v>
      </c>
      <c r="D1129" s="5" t="str">
        <f>"例解微分積分学演習 / 鈴木義也他編著.-- 共立出版; 1992.6."</f>
        <v>例解微分積分学演習 / 鈴木義也他編著.-- 共立出版; 1992.6.</v>
      </c>
      <c r="E1129" s="5" t="str">
        <f>""</f>
        <v/>
      </c>
      <c r="F1129" s="26"/>
      <c r="G1129" s="27" t="str">
        <f>"413.3/ｽｽﾞ"</f>
        <v>413.3/ｽｽﾞ</v>
      </c>
      <c r="H1129" s="4" t="str">
        <f>"1998/10/15"</f>
        <v>1998/10/15</v>
      </c>
      <c r="I1129" s="6">
        <v>3028</v>
      </c>
      <c r="J1129" s="6">
        <v>100</v>
      </c>
      <c r="K1129" s="4" t="str">
        <f t="shared" si="63"/>
        <v>1  和書</v>
      </c>
      <c r="L1129" s="7"/>
    </row>
    <row r="1130" spans="1:12" ht="24" x14ac:dyDescent="0.15">
      <c r="A1130" s="36">
        <v>1129</v>
      </c>
      <c r="B1130" s="3" t="s">
        <v>55</v>
      </c>
      <c r="C1130" s="4" t="str">
        <f>"0002266633"</f>
        <v>0002266633</v>
      </c>
      <c r="D1130" s="5" t="str">
        <f>"微分積分問題集 / 都築正信著.-- 森北出版; 1989.1.-- (基礎数学問題集シリーズ ; 2)."</f>
        <v>微分積分問題集 / 都築正信著.-- 森北出版; 1989.1.-- (基礎数学問題集シリーズ ; 2).</v>
      </c>
      <c r="E1130" s="5" t="str">
        <f>""</f>
        <v/>
      </c>
      <c r="F1130" s="26"/>
      <c r="G1130" s="27" t="str">
        <f>"413.3/ﾂｽﾞ"</f>
        <v>413.3/ﾂｽﾞ</v>
      </c>
      <c r="H1130" s="4" t="str">
        <f>"2001/05/08"</f>
        <v>2001/05/08</v>
      </c>
      <c r="I1130" s="6">
        <v>1134</v>
      </c>
      <c r="J1130" s="6">
        <v>100</v>
      </c>
      <c r="K1130" s="4" t="str">
        <f t="shared" si="63"/>
        <v>1  和書</v>
      </c>
      <c r="L1130" s="7"/>
    </row>
    <row r="1131" spans="1:12" ht="24" x14ac:dyDescent="0.15">
      <c r="A1131" s="36">
        <v>1130</v>
      </c>
      <c r="B1131" s="3" t="s">
        <v>55</v>
      </c>
      <c r="C1131" s="4" t="str">
        <f>"0002287690"</f>
        <v>0002287690</v>
      </c>
      <c r="D1131" s="5" t="str">
        <f>"Mathematicaによる関数グラフィックス / 小林道正著.-- 森北出版; 1997.10."</f>
        <v>Mathematicaによる関数グラフィックス / 小林道正著.-- 森北出版; 1997.10.</v>
      </c>
      <c r="E1131" s="5" t="str">
        <f>""</f>
        <v/>
      </c>
      <c r="F1131" s="26"/>
      <c r="G1131" s="27" t="str">
        <f>"413.5/ｺﾊﾞ"</f>
        <v>413.5/ｺﾊﾞ</v>
      </c>
      <c r="H1131" s="4" t="str">
        <f>"2002/10/30"</f>
        <v>2002/10/30</v>
      </c>
      <c r="I1131" s="6">
        <v>2268</v>
      </c>
      <c r="J1131" s="6">
        <v>100</v>
      </c>
      <c r="K1131" s="4" t="str">
        <f>"1  和書"</f>
        <v>1  和書</v>
      </c>
      <c r="L1131" s="7"/>
    </row>
    <row r="1132" spans="1:12" ht="24" x14ac:dyDescent="0.15">
      <c r="A1132" s="36">
        <v>1131</v>
      </c>
      <c r="B1132" s="3" t="s">
        <v>55</v>
      </c>
      <c r="C1132" s="4" t="str">
        <f>"0001282719"</f>
        <v>0001282719</v>
      </c>
      <c r="D1132" s="5" t="str">
        <f>"The world according to wavelets : the story of a mathematical technique in the making / Barbara Burke Hubbard.-- A K Peters; c1996."</f>
        <v>The world according to wavelets : the story of a mathematical technique in the making / Barbara Burke Hubbard.-- A K Peters; c1996.</v>
      </c>
      <c r="E1132" s="5" t="str">
        <f>""</f>
        <v/>
      </c>
      <c r="F1132" s="26"/>
      <c r="G1132" s="27" t="str">
        <f>"413.5/HU"</f>
        <v>413.5/HU</v>
      </c>
      <c r="H1132" s="4" t="str">
        <f>"1997/01/09"</f>
        <v>1997/01/09</v>
      </c>
      <c r="I1132" s="6">
        <v>5420</v>
      </c>
      <c r="J1132" s="6">
        <v>100</v>
      </c>
      <c r="K1132" s="4" t="str">
        <f>"2  洋書"</f>
        <v>2  洋書</v>
      </c>
      <c r="L1132" s="7"/>
    </row>
    <row r="1133" spans="1:12" ht="24" x14ac:dyDescent="0.15">
      <c r="A1133" s="36">
        <v>1132</v>
      </c>
      <c r="B1133" s="3" t="s">
        <v>55</v>
      </c>
      <c r="C1133" s="4" t="str">
        <f>"0001291186"</f>
        <v>0001291186</v>
      </c>
      <c r="D1133" s="5" t="str">
        <f>"The world according to wavelets : the story of a mathematical technique in the making / Barbara Burke Hubbard.-- A K Peters; c1996."</f>
        <v>The world according to wavelets : the story of a mathematical technique in the making / Barbara Burke Hubbard.-- A K Peters; c1996.</v>
      </c>
      <c r="E1133" s="5" t="str">
        <f>""</f>
        <v/>
      </c>
      <c r="F1133" s="26"/>
      <c r="G1133" s="27" t="str">
        <f>"413.5/HU"</f>
        <v>413.5/HU</v>
      </c>
      <c r="H1133" s="4" t="str">
        <f>"1997/05/23"</f>
        <v>1997/05/23</v>
      </c>
      <c r="I1133" s="6">
        <v>7900</v>
      </c>
      <c r="J1133" s="6">
        <v>100</v>
      </c>
      <c r="K1133" s="4" t="str">
        <f>"2  洋書"</f>
        <v>2  洋書</v>
      </c>
      <c r="L1133" s="7"/>
    </row>
    <row r="1134" spans="1:12" ht="36" x14ac:dyDescent="0.15">
      <c r="A1134" s="36">
        <v>1133</v>
      </c>
      <c r="B1134" s="3" t="s">
        <v>55</v>
      </c>
      <c r="C1134" s="4" t="str">
        <f>"0001285581"</f>
        <v>0001285581</v>
      </c>
      <c r="D1134" s="5" t="str">
        <f>"Wavelets : algorithms &amp; applications / Yves Meyer ; translated and revised by Robert D. Ryan.-- Society for Industrial and Applied Mathematics; 1993."</f>
        <v>Wavelets : algorithms &amp; applications / Yves Meyer ; translated and revised by Robert D. Ryan.-- Society for Industrial and Applied Mathematics; 1993.</v>
      </c>
      <c r="E1134" s="5" t="str">
        <f>""</f>
        <v/>
      </c>
      <c r="F1134" s="26"/>
      <c r="G1134" s="27" t="str">
        <f>"413.5/ME"</f>
        <v>413.5/ME</v>
      </c>
      <c r="H1134" s="4" t="str">
        <f>"1997/02/19"</f>
        <v>1997/02/19</v>
      </c>
      <c r="I1134" s="6">
        <v>3442</v>
      </c>
      <c r="J1134" s="6">
        <v>100</v>
      </c>
      <c r="K1134" s="4" t="str">
        <f>"2  洋書"</f>
        <v>2  洋書</v>
      </c>
      <c r="L1134" s="7"/>
    </row>
    <row r="1135" spans="1:12" ht="36" x14ac:dyDescent="0.15">
      <c r="A1135" s="36">
        <v>1134</v>
      </c>
      <c r="B1135" s="3" t="s">
        <v>55</v>
      </c>
      <c r="C1135" s="4" t="str">
        <f>"0001291605"</f>
        <v>0001291605</v>
      </c>
      <c r="D1135" s="5" t="str">
        <f>"Wavelets : algorithms &amp; applications / Yves Meyer ; translated and revised by Robert D. Ryan.-- Society for Industrial and Applied Mathematics; 1993."</f>
        <v>Wavelets : algorithms &amp; applications / Yves Meyer ; translated and revised by Robert D. Ryan.-- Society for Industrial and Applied Mathematics; 1993.</v>
      </c>
      <c r="E1135" s="5" t="str">
        <f>""</f>
        <v/>
      </c>
      <c r="F1135" s="26"/>
      <c r="G1135" s="27" t="str">
        <f>"413.5/ME"</f>
        <v>413.5/ME</v>
      </c>
      <c r="H1135" s="4" t="str">
        <f>"1997/05/27"</f>
        <v>1997/05/27</v>
      </c>
      <c r="I1135" s="6">
        <v>6133</v>
      </c>
      <c r="J1135" s="6">
        <v>100</v>
      </c>
      <c r="K1135" s="4" t="str">
        <f>"2  洋書"</f>
        <v>2  洋書</v>
      </c>
      <c r="L1135" s="7"/>
    </row>
    <row r="1136" spans="1:12" ht="24" x14ac:dyDescent="0.15">
      <c r="A1136" s="36">
        <v>1135</v>
      </c>
      <c r="B1136" s="3" t="s">
        <v>55</v>
      </c>
      <c r="C1136" s="4" t="str">
        <f>"0001284393"</f>
        <v>0001284393</v>
      </c>
      <c r="D1136" s="5" t="str">
        <f>"Adapted wavelet analysis from theory to software / Mladen Victor Wickerhauser.-- IEEE Press."</f>
        <v>Adapted wavelet analysis from theory to software / Mladen Victor Wickerhauser.-- IEEE Press.</v>
      </c>
      <c r="E1136" s="5" t="str">
        <f>""</f>
        <v/>
      </c>
      <c r="F1136" s="26"/>
      <c r="G1136" s="27" t="str">
        <f>"413.5/WI"</f>
        <v>413.5/WI</v>
      </c>
      <c r="H1136" s="4" t="str">
        <f>"1997/01/29"</f>
        <v>1997/01/29</v>
      </c>
      <c r="I1136" s="6">
        <v>10204</v>
      </c>
      <c r="J1136" s="8">
        <v>500</v>
      </c>
      <c r="K1136" s="4" t="str">
        <f>"2  洋書"</f>
        <v>2  洋書</v>
      </c>
      <c r="L1136" s="7"/>
    </row>
    <row r="1137" spans="1:12" ht="24" x14ac:dyDescent="0.15">
      <c r="A1137" s="36">
        <v>1136</v>
      </c>
      <c r="B1137" s="3" t="s">
        <v>55</v>
      </c>
      <c r="C1137" s="4" t="str">
        <f>"0001673777"</f>
        <v>0001673777</v>
      </c>
      <c r="D1137" s="5" t="str">
        <f>"ウェーヴレットビギナーズガイド / 榊原進著.-- 東京電機大学出版局; 1995.5.-- (数理科学)."</f>
        <v>ウェーヴレットビギナーズガイド / 榊原進著.-- 東京電機大学出版局; 1995.5.-- (数理科学).</v>
      </c>
      <c r="E1137" s="5" t="str">
        <f>""</f>
        <v/>
      </c>
      <c r="F1137" s="26"/>
      <c r="G1137" s="27" t="str">
        <f>"413.51/ｻｶ"</f>
        <v>413.51/ｻｶ</v>
      </c>
      <c r="H1137" s="4" t="str">
        <f>"1998/06/16"</f>
        <v>1998/06/16</v>
      </c>
      <c r="I1137" s="6">
        <v>3780</v>
      </c>
      <c r="J1137" s="6">
        <v>100</v>
      </c>
      <c r="K1137" s="4" t="str">
        <f t="shared" si="63"/>
        <v>1  和書</v>
      </c>
      <c r="L1137" s="7"/>
    </row>
    <row r="1138" spans="1:12" ht="24" x14ac:dyDescent="0.15">
      <c r="A1138" s="36">
        <v>1137</v>
      </c>
      <c r="B1138" s="3" t="s">
        <v>55</v>
      </c>
      <c r="C1138" s="4" t="str">
        <f>"0002766225"</f>
        <v>0002766225</v>
      </c>
      <c r="D1138" s="5" t="str">
        <f>"複素解析の技法 / 藤原毅夫著.-- 共立出版; 1999.9.-- (工系数学講座 ; 6)."</f>
        <v>複素解析の技法 / 藤原毅夫著.-- 共立出版; 1999.9.-- (工系数学講座 ; 6).</v>
      </c>
      <c r="E1138" s="5" t="str">
        <f>""</f>
        <v/>
      </c>
      <c r="F1138" s="26"/>
      <c r="G1138" s="27" t="str">
        <f>"413.52/ﾌｼﾞ"</f>
        <v>413.52/ﾌｼﾞ</v>
      </c>
      <c r="H1138" s="4" t="str">
        <f>"2006/08/02"</f>
        <v>2006/08/02</v>
      </c>
      <c r="I1138" s="6">
        <v>2835</v>
      </c>
      <c r="J1138" s="6">
        <v>100</v>
      </c>
      <c r="K1138" s="4" t="str">
        <f t="shared" si="63"/>
        <v>1  和書</v>
      </c>
      <c r="L1138" s="7"/>
    </row>
    <row r="1139" spans="1:12" ht="24" x14ac:dyDescent="0.15">
      <c r="A1139" s="36">
        <v>1138</v>
      </c>
      <c r="B1139" s="3" t="s">
        <v>55</v>
      </c>
      <c r="C1139" s="4" t="str">
        <f>"0002766287"</f>
        <v>0002766287</v>
      </c>
      <c r="D1139" s="5" t="str">
        <f>"キーポイント微分方程式 / 佐野理著.-- 岩波書店; 1993.1.-- (理工系数学のキーポイント / 和達三樹, 薩摩順吉編 ; 5)."</f>
        <v>キーポイント微分方程式 / 佐野理著.-- 岩波書店; 1993.1.-- (理工系数学のキーポイント / 和達三樹, 薩摩順吉編 ; 5).</v>
      </c>
      <c r="E1139" s="5" t="str">
        <f>""</f>
        <v/>
      </c>
      <c r="F1139" s="26"/>
      <c r="G1139" s="27" t="str">
        <f>"413.6/ｻﾉ"</f>
        <v>413.6/ｻﾉ</v>
      </c>
      <c r="H1139" s="4" t="str">
        <f>"2006/07/31"</f>
        <v>2006/07/31</v>
      </c>
      <c r="I1139" s="6">
        <v>2079</v>
      </c>
      <c r="J1139" s="6">
        <v>100</v>
      </c>
      <c r="K1139" s="4" t="str">
        <f>"1  和書"</f>
        <v>1  和書</v>
      </c>
      <c r="L1139" s="7"/>
    </row>
    <row r="1140" spans="1:12" ht="24" x14ac:dyDescent="0.15">
      <c r="A1140" s="36">
        <v>1139</v>
      </c>
      <c r="B1140" s="3" t="s">
        <v>55</v>
      </c>
      <c r="C1140" s="4" t="str">
        <f>"0002283920"</f>
        <v>0002283920</v>
      </c>
      <c r="D1140" s="5" t="str">
        <f>"フラクタルと画像処理 : 差分力学系の基礎と応用 / 徳永隆治著.-- コロナ社; 2002.7.-- (現代非線形科学シリーズ ; 8)."</f>
        <v>フラクタルと画像処理 : 差分力学系の基礎と応用 / 徳永隆治著.-- コロナ社; 2002.7.-- (現代非線形科学シリーズ ; 8).</v>
      </c>
      <c r="E1140" s="5" t="str">
        <f>""</f>
        <v/>
      </c>
      <c r="F1140" s="26"/>
      <c r="G1140" s="27" t="str">
        <f>"413.6/ﾄｸ"</f>
        <v>413.6/ﾄｸ</v>
      </c>
      <c r="H1140" s="4" t="str">
        <f>"2002/06/18"</f>
        <v>2002/06/18</v>
      </c>
      <c r="I1140" s="6">
        <v>1890</v>
      </c>
      <c r="J1140" s="6">
        <v>100</v>
      </c>
      <c r="K1140" s="4" t="str">
        <f>"1  和書"</f>
        <v>1  和書</v>
      </c>
      <c r="L1140" s="7"/>
    </row>
    <row r="1141" spans="1:12" x14ac:dyDescent="0.15">
      <c r="A1141" s="36">
        <v>1140</v>
      </c>
      <c r="B1141" s="3" t="s">
        <v>55</v>
      </c>
      <c r="C1141" s="4" t="str">
        <f>"0002294681"</f>
        <v>0002294681</v>
      </c>
      <c r="D1141" s="5" t="str">
        <f>"応用微分方程式 / 藤本淳夫著.-- 改訂版.-- 培風館; 1992.3."</f>
        <v>応用微分方程式 / 藤本淳夫著.-- 改訂版.-- 培風館; 1992.3.</v>
      </c>
      <c r="E1141" s="5" t="str">
        <f>""</f>
        <v/>
      </c>
      <c r="F1141" s="26"/>
      <c r="G1141" s="27" t="str">
        <f>"413.6/ﾌｼﾞ"</f>
        <v>413.6/ﾌｼﾞ</v>
      </c>
      <c r="H1141" s="4" t="str">
        <f>"2003/05/26"</f>
        <v>2003/05/26</v>
      </c>
      <c r="I1141" s="6">
        <v>1651</v>
      </c>
      <c r="J1141" s="6">
        <v>100</v>
      </c>
      <c r="K1141" s="4" t="str">
        <f>"1  和書"</f>
        <v>1  和書</v>
      </c>
      <c r="L1141" s="7"/>
    </row>
    <row r="1142" spans="1:12" ht="36" x14ac:dyDescent="0.15">
      <c r="A1142" s="36">
        <v>1141</v>
      </c>
      <c r="B1142" s="3" t="s">
        <v>55</v>
      </c>
      <c r="C1142" s="4" t="str">
        <f>"0001279993"</f>
        <v>0001279993</v>
      </c>
      <c r="D1142" s="5" t="str">
        <f>"An introduction to the mathematical theory of inverse problems / Andreas Kirsch.-- Springer; c1996.-- (Applied mathematical sciences ; v. 120)."</f>
        <v>An introduction to the mathematical theory of inverse problems / Andreas Kirsch.-- Springer; c1996.-- (Applied mathematical sciences ; v. 120).</v>
      </c>
      <c r="E1142" s="5" t="str">
        <f>""</f>
        <v/>
      </c>
      <c r="F1142" s="26"/>
      <c r="G1142" s="27" t="str">
        <f>"413.6/KI"</f>
        <v>413.6/KI</v>
      </c>
      <c r="H1142" s="4" t="str">
        <f>"1996/11/21"</f>
        <v>1996/11/21</v>
      </c>
      <c r="I1142" s="6">
        <v>9668</v>
      </c>
      <c r="J1142" s="6">
        <v>100</v>
      </c>
      <c r="K1142" s="4" t="str">
        <f>"2  洋書"</f>
        <v>2  洋書</v>
      </c>
      <c r="L1142" s="7"/>
    </row>
    <row r="1143" spans="1:12" ht="24" x14ac:dyDescent="0.15">
      <c r="A1143" s="36">
        <v>1142</v>
      </c>
      <c r="B1143" s="3" t="s">
        <v>55</v>
      </c>
      <c r="C1143" s="4" t="str">
        <f>"0002259291"</f>
        <v>0002259291</v>
      </c>
      <c r="D1143" s="5" t="str">
        <f>"形状CADと図形の数学 / 金谷健一著.-- 共立出版; 1998.2.-- (工系数学講座 ; 19)."</f>
        <v>形状CADと図形の数学 / 金谷健一著.-- 共立出版; 1998.2.-- (工系数学講座 ; 19).</v>
      </c>
      <c r="E1143" s="5" t="str">
        <f>""</f>
        <v/>
      </c>
      <c r="F1143" s="26"/>
      <c r="G1143" s="27" t="str">
        <f>"414/ｶﾅ"</f>
        <v>414/ｶﾅ</v>
      </c>
      <c r="H1143" s="4" t="str">
        <f>"2000/10/16"</f>
        <v>2000/10/16</v>
      </c>
      <c r="I1143" s="6">
        <v>2362</v>
      </c>
      <c r="J1143" s="6">
        <v>100</v>
      </c>
      <c r="K1143" s="4" t="str">
        <f t="shared" si="62"/>
        <v>1  和書</v>
      </c>
      <c r="L1143" s="7"/>
    </row>
    <row r="1144" spans="1:12" ht="24" x14ac:dyDescent="0.15">
      <c r="A1144" s="36">
        <v>1143</v>
      </c>
      <c r="B1144" s="3" t="s">
        <v>55</v>
      </c>
      <c r="C1144" s="10" t="str">
        <f>"0002777177"</f>
        <v>0002777177</v>
      </c>
      <c r="D1144" s="11" t="str">
        <f>"多角形の現代幾何学 / 小島定吉著.-- 増補版.-- 牧野書店.-- (数理情報科学シリーズ ; 1)."</f>
        <v>多角形の現代幾何学 / 小島定吉著.-- 増補版.-- 牧野書店.-- (数理情報科学シリーズ ; 1).</v>
      </c>
      <c r="E1144" s="11" t="str">
        <f>""</f>
        <v/>
      </c>
      <c r="F1144" s="28" t="s">
        <v>8</v>
      </c>
      <c r="G1144" s="29" t="str">
        <f>"414/ｺｼﾞ"</f>
        <v>414/ｺｼﾞ</v>
      </c>
      <c r="H1144" s="10" t="str">
        <f>"2008/10/16"</f>
        <v>2008/10/16</v>
      </c>
      <c r="I1144" s="12">
        <v>2268</v>
      </c>
      <c r="J1144" s="12">
        <v>100</v>
      </c>
      <c r="K1144" s="10" t="str">
        <f t="shared" si="62"/>
        <v>1  和書</v>
      </c>
      <c r="L1144" s="13"/>
    </row>
    <row r="1145" spans="1:12" ht="24" x14ac:dyDescent="0.15">
      <c r="A1145" s="36">
        <v>1144</v>
      </c>
      <c r="B1145" s="3" t="s">
        <v>55</v>
      </c>
      <c r="C1145" s="4" t="str">
        <f>"0002256603"</f>
        <v>0002256603</v>
      </c>
      <c r="D1145" s="5" t="str">
        <f>"グラフィックスの数理 / 杉原厚吉著.-- 共立出版; 1995.1.-- (情報数学講座 ; 13)."</f>
        <v>グラフィックスの数理 / 杉原厚吉著.-- 共立出版; 1995.1.-- (情報数学講座 ; 13).</v>
      </c>
      <c r="E1145" s="5" t="str">
        <f>""</f>
        <v/>
      </c>
      <c r="F1145" s="26"/>
      <c r="G1145" s="27" t="str">
        <f>"414/ｽｷﾞ"</f>
        <v>414/ｽｷﾞ</v>
      </c>
      <c r="H1145" s="4" t="str">
        <f>"2000/07/11"</f>
        <v>2000/07/11</v>
      </c>
      <c r="I1145" s="6">
        <v>3192</v>
      </c>
      <c r="J1145" s="6">
        <v>100</v>
      </c>
      <c r="K1145" s="4" t="str">
        <f t="shared" si="62"/>
        <v>1  和書</v>
      </c>
      <c r="L1145" s="7"/>
    </row>
    <row r="1146" spans="1:12" ht="24" x14ac:dyDescent="0.15">
      <c r="A1146" s="36">
        <v>1145</v>
      </c>
      <c r="B1146" s="3" t="s">
        <v>55</v>
      </c>
      <c r="C1146" s="4" t="str">
        <f>"0002760896"</f>
        <v>0002760896</v>
      </c>
      <c r="D1146" s="5" t="str">
        <f>"黄金分割 : 自然と数理と芸術と / アルプレヒト・ボイテルスパッヒャー, ベルンハルト・ペトリ著 ; 柳井浩訳.-- 共立出版; 2005.3."</f>
        <v>黄金分割 : 自然と数理と芸術と / アルプレヒト・ボイテルスパッヒャー, ベルンハルト・ペトリ著 ; 柳井浩訳.-- 共立出版; 2005.3.</v>
      </c>
      <c r="E1146" s="5" t="str">
        <f>""</f>
        <v/>
      </c>
      <c r="F1146" s="26"/>
      <c r="G1146" s="27" t="str">
        <f>"414/ﾎﾞｲ"</f>
        <v>414/ﾎﾞｲ</v>
      </c>
      <c r="H1146" s="4" t="str">
        <f>"2005/04/12"</f>
        <v>2005/04/12</v>
      </c>
      <c r="I1146" s="6">
        <v>2268</v>
      </c>
      <c r="J1146" s="6">
        <v>100</v>
      </c>
      <c r="K1146" s="4" t="str">
        <f t="shared" si="62"/>
        <v>1  和書</v>
      </c>
      <c r="L1146" s="7"/>
    </row>
    <row r="1147" spans="1:12" ht="24" x14ac:dyDescent="0.15">
      <c r="A1147" s="36">
        <v>1146</v>
      </c>
      <c r="B1147" s="3" t="s">
        <v>55</v>
      </c>
      <c r="C1147" s="4" t="str">
        <f>"0002761237"</f>
        <v>0002761237</v>
      </c>
      <c r="D1147" s="5" t="str">
        <f>"黄金分割 : 自然と数理と芸術と / アルプレヒト・ボイテルスパッヒャー, ベルンハルト・ペトリ著 ; 柳井浩訳.-- 共立出版; 2005.3."</f>
        <v>黄金分割 : 自然と数理と芸術と / アルプレヒト・ボイテルスパッヒャー, ベルンハルト・ペトリ著 ; 柳井浩訳.-- 共立出版; 2005.3.</v>
      </c>
      <c r="E1147" s="5" t="str">
        <f>""</f>
        <v/>
      </c>
      <c r="F1147" s="26"/>
      <c r="G1147" s="27" t="str">
        <f>"414/ﾎﾞｲ"</f>
        <v>414/ﾎﾞｲ</v>
      </c>
      <c r="H1147" s="4" t="str">
        <f>"2005/04/27"</f>
        <v>2005/04/27</v>
      </c>
      <c r="I1147" s="6">
        <v>2268</v>
      </c>
      <c r="J1147" s="6">
        <v>100</v>
      </c>
      <c r="K1147" s="4" t="str">
        <f t="shared" si="62"/>
        <v>1  和書</v>
      </c>
      <c r="L1147" s="7"/>
    </row>
    <row r="1148" spans="1:12" x14ac:dyDescent="0.15">
      <c r="A1148" s="36">
        <v>1147</v>
      </c>
      <c r="B1148" s="3" t="s">
        <v>55</v>
      </c>
      <c r="C1148" s="4" t="str">
        <f>"0002256610"</f>
        <v>0002256610</v>
      </c>
      <c r="D1148" s="5" t="str">
        <f>"3次元ビジョン / 徐剛, 辻三郎著.-- 共立出版; 1998.4."</f>
        <v>3次元ビジョン / 徐剛, 辻三郎著.-- 共立出版; 1998.4.</v>
      </c>
      <c r="E1148" s="5" t="str">
        <f>""</f>
        <v/>
      </c>
      <c r="F1148" s="26"/>
      <c r="G1148" s="27" t="str">
        <f>"414.4/ｼﾞﾖ"</f>
        <v>414.4/ｼﾞﾖ</v>
      </c>
      <c r="H1148" s="4" t="str">
        <f>"2000/07/11"</f>
        <v>2000/07/11</v>
      </c>
      <c r="I1148" s="6">
        <v>2835</v>
      </c>
      <c r="J1148" s="6">
        <v>100</v>
      </c>
      <c r="K1148" s="4" t="str">
        <f t="shared" si="62"/>
        <v>1  和書</v>
      </c>
      <c r="L1148" s="7"/>
    </row>
    <row r="1149" spans="1:12" x14ac:dyDescent="0.15">
      <c r="A1149" s="36">
        <v>1148</v>
      </c>
      <c r="B1149" s="3" t="s">
        <v>55</v>
      </c>
      <c r="C1149" s="4" t="str">
        <f>"0002758503"</f>
        <v>0002758503</v>
      </c>
      <c r="D1149" s="5" t="str">
        <f>"3次元ビジョン / 徐剛, 辻三郎著.-- 共立出版; 1998.4."</f>
        <v>3次元ビジョン / 徐剛, 辻三郎著.-- 共立出版; 1998.4.</v>
      </c>
      <c r="E1149" s="5" t="str">
        <f>""</f>
        <v/>
      </c>
      <c r="F1149" s="26"/>
      <c r="G1149" s="27" t="str">
        <f>"414.4/ｼﾞﾖ"</f>
        <v>414.4/ｼﾞﾖ</v>
      </c>
      <c r="H1149" s="4" t="str">
        <f>"2004/12/02"</f>
        <v>2004/12/02</v>
      </c>
      <c r="I1149" s="6">
        <v>2929</v>
      </c>
      <c r="J1149" s="6">
        <v>100</v>
      </c>
      <c r="K1149" s="4" t="str">
        <f t="shared" si="62"/>
        <v>1  和書</v>
      </c>
      <c r="L1149" s="7"/>
    </row>
    <row r="1150" spans="1:12" x14ac:dyDescent="0.15">
      <c r="A1150" s="36">
        <v>1149</v>
      </c>
      <c r="B1150" s="3" t="s">
        <v>55</v>
      </c>
      <c r="C1150" s="4" t="str">
        <f>"0002259680"</f>
        <v>0002259680</v>
      </c>
      <c r="D1150" s="5" t="str">
        <f>"曲面の数学 : 現代数学入門 / 長野正著.-- 培風館; 1968.3."</f>
        <v>曲面の数学 : 現代数学入門 / 長野正著.-- 培風館; 1968.3.</v>
      </c>
      <c r="E1150" s="5" t="str">
        <f>""</f>
        <v/>
      </c>
      <c r="F1150" s="26"/>
      <c r="G1150" s="27" t="str">
        <f>"414.53/ﾅｶﾞ"</f>
        <v>414.53/ﾅｶﾞ</v>
      </c>
      <c r="H1150" s="4" t="str">
        <f>"2000/10/17"</f>
        <v>2000/10/17</v>
      </c>
      <c r="I1150" s="6">
        <v>2457</v>
      </c>
      <c r="J1150" s="6">
        <v>100</v>
      </c>
      <c r="K1150" s="4" t="str">
        <f t="shared" si="62"/>
        <v>1  和書</v>
      </c>
      <c r="L1150" s="7"/>
    </row>
    <row r="1151" spans="1:12" ht="36" x14ac:dyDescent="0.15">
      <c r="A1151" s="36">
        <v>1150</v>
      </c>
      <c r="B1151" s="3" t="s">
        <v>55</v>
      </c>
      <c r="C1151" s="4" t="str">
        <f>"0002287904"</f>
        <v>0002287904</v>
      </c>
      <c r="D1151" s="5" t="str">
        <f>"曲線論・曲面論 : Mathematicaで探索する古典微分幾何学 / 田澤義彦著.-- ピアソン・エデュケーション; 1999.8.-- (Computer in education and research ; 3)."</f>
        <v>曲線論・曲面論 : Mathematicaで探索する古典微分幾何学 / 田澤義彦著.-- ピアソン・エデュケーション; 1999.8.-- (Computer in education and research ; 3).</v>
      </c>
      <c r="E1151" s="5" t="str">
        <f>""</f>
        <v/>
      </c>
      <c r="F1151" s="26"/>
      <c r="G1151" s="27" t="str">
        <f>"414.7/ﾀｻﾞ"</f>
        <v>414.7/ﾀｻﾞ</v>
      </c>
      <c r="H1151" s="4" t="str">
        <f>"2002/11/05"</f>
        <v>2002/11/05</v>
      </c>
      <c r="I1151" s="6">
        <v>3591</v>
      </c>
      <c r="J1151" s="6">
        <v>100</v>
      </c>
      <c r="K1151" s="4" t="str">
        <f t="shared" si="62"/>
        <v>1  和書</v>
      </c>
      <c r="L1151" s="7"/>
    </row>
    <row r="1152" spans="1:12" x14ac:dyDescent="0.15">
      <c r="A1152" s="36">
        <v>1151</v>
      </c>
      <c r="B1152" s="3" t="s">
        <v>55</v>
      </c>
      <c r="C1152" s="4" t="str">
        <f>"0002756028"</f>
        <v>0002756028</v>
      </c>
      <c r="D1152" s="5" t="str">
        <f>"多様体の微分幾何学 / 丹野修吉著.-- 実教出版; 1976.3."</f>
        <v>多様体の微分幾何学 / 丹野修吉著.-- 実教出版; 1976.3.</v>
      </c>
      <c r="E1152" s="5" t="str">
        <f>""</f>
        <v/>
      </c>
      <c r="F1152" s="26"/>
      <c r="G1152" s="27" t="str">
        <f>"414.7/ﾀﾝ"</f>
        <v>414.7/ﾀﾝ</v>
      </c>
      <c r="H1152" s="4" t="str">
        <f>"2004/07/29"</f>
        <v>2004/07/29</v>
      </c>
      <c r="I1152" s="6">
        <v>2835</v>
      </c>
      <c r="J1152" s="6">
        <v>100</v>
      </c>
      <c r="K1152" s="4" t="str">
        <f t="shared" si="62"/>
        <v>1  和書</v>
      </c>
      <c r="L1152" s="7"/>
    </row>
    <row r="1153" spans="1:12" ht="24" x14ac:dyDescent="0.15">
      <c r="A1153" s="36">
        <v>1152</v>
      </c>
      <c r="B1153" s="3" t="s">
        <v>55</v>
      </c>
      <c r="C1153" s="4" t="str">
        <f>"0002762647"</f>
        <v>0002762647</v>
      </c>
      <c r="D1153" s="5" t="str">
        <f>"じっくり学ぶ曲線と曲面 : 微分幾何学初歩 / 中内伸光著.-- 共立出版; 2005.9."</f>
        <v>じっくり学ぶ曲線と曲面 : 微分幾何学初歩 / 中内伸光著.-- 共立出版; 2005.9.</v>
      </c>
      <c r="E1153" s="5" t="str">
        <f>""</f>
        <v/>
      </c>
      <c r="F1153" s="26"/>
      <c r="G1153" s="27" t="str">
        <f>"414.7/ﾅｶ"</f>
        <v>414.7/ﾅｶ</v>
      </c>
      <c r="H1153" s="4" t="str">
        <f>"2005/10/13"</f>
        <v>2005/10/13</v>
      </c>
      <c r="I1153" s="6">
        <v>3213</v>
      </c>
      <c r="J1153" s="6">
        <v>100</v>
      </c>
      <c r="K1153" s="4" t="str">
        <f t="shared" si="62"/>
        <v>1  和書</v>
      </c>
      <c r="L1153" s="7"/>
    </row>
    <row r="1154" spans="1:12" ht="36" x14ac:dyDescent="0.15">
      <c r="A1154" s="36">
        <v>1153</v>
      </c>
      <c r="B1154" s="3" t="s">
        <v>55</v>
      </c>
      <c r="C1154" s="4" t="str">
        <f>"0002754482"</f>
        <v>0002754482</v>
      </c>
      <c r="D1154" s="5" t="str">
        <f>"言語と心理の統計 : ことばと行動の確率モデルによる分析 / 金明哲 [ほか執筆].-- 岩波書店; 2003.3.-- (統計科学のフロンティア / 甘利俊一 [ほか] 編 ; 10)."</f>
        <v>言語と心理の統計 : ことばと行動の確率モデルによる分析 / 金明哲 [ほか執筆].-- 岩波書店; 2003.3.-- (統計科学のフロンティア / 甘利俊一 [ほか] 編 ; 10).</v>
      </c>
      <c r="E1154" s="5" t="str">
        <f>""</f>
        <v/>
      </c>
      <c r="F1154" s="26"/>
      <c r="G1154" s="27" t="str">
        <f>"417/ｱﾏ/10"</f>
        <v>417/ｱﾏ/10</v>
      </c>
      <c r="H1154" s="4" t="str">
        <f>"2004/06/14"</f>
        <v>2004/06/14</v>
      </c>
      <c r="I1154" s="6">
        <v>3402</v>
      </c>
      <c r="J1154" s="6">
        <v>100</v>
      </c>
      <c r="K1154" s="4" t="str">
        <f t="shared" si="62"/>
        <v>1  和書</v>
      </c>
      <c r="L1154" s="7"/>
    </row>
    <row r="1155" spans="1:12" ht="36" x14ac:dyDescent="0.15">
      <c r="A1155" s="36">
        <v>1154</v>
      </c>
      <c r="B1155" s="3" t="s">
        <v>55</v>
      </c>
      <c r="C1155" s="4" t="str">
        <f>"0002762210"</f>
        <v>0002762210</v>
      </c>
      <c r="D1155" s="5" t="str">
        <f>"階層ベイズモデルとその周辺 : 時系列・画像・認知への応用 / 石黒真木夫, 松本隆, 乾敏郎, 田邉國士 [著].-- 岩波書店; 2004.10.-- (統計科学のフロンティア / 甘利俊一 [ほか] 編 ; 4)."</f>
        <v>階層ベイズモデルとその周辺 : 時系列・画像・認知への応用 / 石黒真木夫, 松本隆, 乾敏郎, 田邉國士 [著].-- 岩波書店; 2004.10.-- (統計科学のフロンティア / 甘利俊一 [ほか] 編 ; 4).</v>
      </c>
      <c r="E1155" s="5" t="str">
        <f>""</f>
        <v/>
      </c>
      <c r="F1155" s="26"/>
      <c r="G1155" s="27" t="str">
        <f>"417/ｱﾏ/4"</f>
        <v>417/ｱﾏ/4</v>
      </c>
      <c r="H1155" s="4" t="str">
        <f>"2005/09/12"</f>
        <v>2005/09/12</v>
      </c>
      <c r="I1155" s="6">
        <v>3591</v>
      </c>
      <c r="J1155" s="6">
        <v>100</v>
      </c>
      <c r="K1155" s="4" t="str">
        <f t="shared" si="62"/>
        <v>1  和書</v>
      </c>
      <c r="L1155" s="7"/>
    </row>
    <row r="1156" spans="1:12" ht="36" x14ac:dyDescent="0.15">
      <c r="A1156" s="36">
        <v>1155</v>
      </c>
      <c r="B1156" s="3" t="s">
        <v>55</v>
      </c>
      <c r="C1156" s="4" t="str">
        <f>"0002754802"</f>
        <v>0002754802</v>
      </c>
      <c r="D1156" s="5" t="str">
        <f>"パターン認識と学習の統計学 : 新しい概念と手法 / 麻生英樹, 津田宏治, 村田昇 [著].-- 岩波書店; 2003.4.-- (統計科学のフロンティア / 甘利俊一 [ほか] 編 ; 6)."</f>
        <v>パターン認識と学習の統計学 : 新しい概念と手法 / 麻生英樹, 津田宏治, 村田昇 [著].-- 岩波書店; 2003.4.-- (統計科学のフロンティア / 甘利俊一 [ほか] 編 ; 6).</v>
      </c>
      <c r="E1156" s="5" t="str">
        <f>""</f>
        <v/>
      </c>
      <c r="F1156" s="26"/>
      <c r="G1156" s="27" t="str">
        <f>"417/ｱﾏ/6"</f>
        <v>417/ｱﾏ/6</v>
      </c>
      <c r="H1156" s="4" t="str">
        <f>"2004/06/24"</f>
        <v>2004/06/24</v>
      </c>
      <c r="I1156" s="6">
        <v>3402</v>
      </c>
      <c r="J1156" s="6">
        <v>100</v>
      </c>
      <c r="K1156" s="4" t="str">
        <f t="shared" si="62"/>
        <v>1  和書</v>
      </c>
      <c r="L1156" s="7"/>
    </row>
    <row r="1157" spans="1:12" ht="36" x14ac:dyDescent="0.15">
      <c r="A1157" s="36">
        <v>1156</v>
      </c>
      <c r="B1157" s="3" t="s">
        <v>55</v>
      </c>
      <c r="C1157" s="4" t="str">
        <f>"0002762234"</f>
        <v>0002762234</v>
      </c>
      <c r="D1157" s="5" t="str">
        <f>"特異モデルの統計学 : 未解決問題への新しい視点 / 福水健次 [ほか著].-- 岩波書店; 2004.7.-- (統計科学のフロンティア / 甘利俊一 [ほか] 編 ; 7)."</f>
        <v>特異モデルの統計学 : 未解決問題への新しい視点 / 福水健次 [ほか著].-- 岩波書店; 2004.7.-- (統計科学のフロンティア / 甘利俊一 [ほか] 編 ; 7).</v>
      </c>
      <c r="E1157" s="5" t="str">
        <f>""</f>
        <v/>
      </c>
      <c r="F1157" s="26"/>
      <c r="G1157" s="27" t="str">
        <f>"417/ｱﾏ/7"</f>
        <v>417/ｱﾏ/7</v>
      </c>
      <c r="H1157" s="4" t="str">
        <f>"2005/09/12"</f>
        <v>2005/09/12</v>
      </c>
      <c r="I1157" s="6">
        <v>3591</v>
      </c>
      <c r="J1157" s="6">
        <v>100</v>
      </c>
      <c r="K1157" s="4" t="str">
        <f t="shared" si="62"/>
        <v>1  和書</v>
      </c>
      <c r="L1157" s="7"/>
    </row>
    <row r="1158" spans="1:12" x14ac:dyDescent="0.15">
      <c r="A1158" s="36">
        <v>1157</v>
      </c>
      <c r="B1158" s="3" t="s">
        <v>55</v>
      </c>
      <c r="C1158" s="4" t="str">
        <f>"0002757223"</f>
        <v>0002757223</v>
      </c>
      <c r="D1158" s="5" t="str">
        <f>"数理計画法 : 最適化の手法 / 一森哲男著.-- 共立出版; 1994.8."</f>
        <v>数理計画法 : 最適化の手法 / 一森哲男著.-- 共立出版; 1994.8.</v>
      </c>
      <c r="E1158" s="5" t="str">
        <f>""</f>
        <v/>
      </c>
      <c r="F1158" s="26"/>
      <c r="G1158" s="27" t="str">
        <f>"417/ｲﾁ"</f>
        <v>417/ｲﾁ</v>
      </c>
      <c r="H1158" s="4" t="str">
        <f>"2004/10/08"</f>
        <v>2004/10/08</v>
      </c>
      <c r="I1158" s="6">
        <v>2173</v>
      </c>
      <c r="J1158" s="6">
        <v>100</v>
      </c>
      <c r="K1158" s="4" t="str">
        <f t="shared" si="62"/>
        <v>1  和書</v>
      </c>
      <c r="L1158" s="7"/>
    </row>
    <row r="1159" spans="1:12" x14ac:dyDescent="0.15">
      <c r="A1159" s="36">
        <v>1158</v>
      </c>
      <c r="B1159" s="3" t="s">
        <v>55</v>
      </c>
      <c r="C1159" s="4" t="str">
        <f>"0002770321"</f>
        <v>0002770321</v>
      </c>
      <c r="D1159" s="5" t="str">
        <f>"数理計画法 : 最適化の手法 / 一森哲男著.-- 共立出版; 1994.8."</f>
        <v>数理計画法 : 最適化の手法 / 一森哲男著.-- 共立出版; 1994.8.</v>
      </c>
      <c r="E1159" s="5" t="str">
        <f>""</f>
        <v/>
      </c>
      <c r="F1159" s="26"/>
      <c r="G1159" s="27" t="str">
        <f>"417/ｲﾁ"</f>
        <v>417/ｲﾁ</v>
      </c>
      <c r="H1159" s="4" t="str">
        <f>"2007/06/04"</f>
        <v>2007/06/04</v>
      </c>
      <c r="I1159" s="6">
        <v>2173</v>
      </c>
      <c r="J1159" s="6">
        <v>100</v>
      </c>
      <c r="K1159" s="4" t="str">
        <f t="shared" si="62"/>
        <v>1  和書</v>
      </c>
      <c r="L1159" s="7"/>
    </row>
    <row r="1160" spans="1:12" ht="24" x14ac:dyDescent="0.15">
      <c r="A1160" s="36">
        <v>1159</v>
      </c>
      <c r="B1160" s="3" t="s">
        <v>55</v>
      </c>
      <c r="C1160" s="4" t="str">
        <f>"0001298604"</f>
        <v>0001298604</v>
      </c>
      <c r="D1160" s="5" t="str">
        <f>"最適化の手法 / 茨木俊秀, 福島雅夫著.-- 共立出版; 1993.7.-- (情報数学講座 ; 14)."</f>
        <v>最適化の手法 / 茨木俊秀, 福島雅夫著.-- 共立出版; 1993.7.-- (情報数学講座 ; 14).</v>
      </c>
      <c r="E1160" s="5" t="str">
        <f>""</f>
        <v/>
      </c>
      <c r="F1160" s="26"/>
      <c r="G1160" s="27" t="str">
        <f>"417/ｲﾊﾞ"</f>
        <v>417/ｲﾊﾞ</v>
      </c>
      <c r="H1160" s="4" t="str">
        <f>"1997/10/15"</f>
        <v>1997/10/15</v>
      </c>
      <c r="I1160" s="6">
        <v>2740</v>
      </c>
      <c r="J1160" s="6">
        <v>100</v>
      </c>
      <c r="K1160" s="4" t="str">
        <f t="shared" si="62"/>
        <v>1  和書</v>
      </c>
      <c r="L1160" s="7"/>
    </row>
    <row r="1161" spans="1:12" x14ac:dyDescent="0.15">
      <c r="A1161" s="36">
        <v>1160</v>
      </c>
      <c r="B1161" s="3" t="s">
        <v>55</v>
      </c>
      <c r="C1161" s="4" t="str">
        <f>"0000529556"</f>
        <v>0000529556</v>
      </c>
      <c r="D1161" s="5" t="str">
        <f>"線形計画法 / 伊理正夫著.-- 共立出版; 1986.11."</f>
        <v>線形計画法 / 伊理正夫著.-- 共立出版; 1986.11.</v>
      </c>
      <c r="E1161" s="5" t="str">
        <f>""</f>
        <v/>
      </c>
      <c r="F1161" s="26"/>
      <c r="G1161" s="27" t="str">
        <f>"417/ｲﾘ"</f>
        <v>417/ｲﾘ</v>
      </c>
      <c r="H1161" s="4" t="str">
        <f>"1995/02/10"</f>
        <v>1995/02/10</v>
      </c>
      <c r="I1161" s="6">
        <v>2160</v>
      </c>
      <c r="J1161" s="6">
        <v>100</v>
      </c>
      <c r="K1161" s="4" t="str">
        <f t="shared" si="62"/>
        <v>1  和書</v>
      </c>
      <c r="L1161" s="7"/>
    </row>
    <row r="1162" spans="1:12" x14ac:dyDescent="0.15">
      <c r="A1162" s="36">
        <v>1161</v>
      </c>
      <c r="B1162" s="3" t="s">
        <v>55</v>
      </c>
      <c r="C1162" s="4" t="str">
        <f>"0000566087"</f>
        <v>0000566087</v>
      </c>
      <c r="D1162" s="5" t="str">
        <f>"線形計画法 / 伊理正夫著.-- 共立出版; 1986.11."</f>
        <v>線形計画法 / 伊理正夫著.-- 共立出版; 1986.11.</v>
      </c>
      <c r="E1162" s="5" t="str">
        <f>""</f>
        <v/>
      </c>
      <c r="F1162" s="26"/>
      <c r="G1162" s="27" t="str">
        <f>"417/ｲﾘ"</f>
        <v>417/ｲﾘ</v>
      </c>
      <c r="H1162" s="4" t="str">
        <f>"1995/03/31"</f>
        <v>1995/03/31</v>
      </c>
      <c r="I1162" s="6">
        <v>1951</v>
      </c>
      <c r="J1162" s="6">
        <v>100</v>
      </c>
      <c r="K1162" s="4" t="str">
        <f t="shared" si="62"/>
        <v>1  和書</v>
      </c>
      <c r="L1162" s="7"/>
    </row>
    <row r="1163" spans="1:12" x14ac:dyDescent="0.15">
      <c r="A1163" s="36">
        <v>1162</v>
      </c>
      <c r="B1163" s="3" t="s">
        <v>55</v>
      </c>
      <c r="C1163" s="4" t="str">
        <f>"0003288436"</f>
        <v>0003288436</v>
      </c>
      <c r="D1163" s="5" t="str">
        <f>"確率・統計の基礎 / 岩崎学著.-- 東京図書; 2007.4."</f>
        <v>確率・統計の基礎 / 岩崎学著.-- 東京図書; 2007.4.</v>
      </c>
      <c r="E1163" s="5" t="str">
        <f>""</f>
        <v/>
      </c>
      <c r="F1163" s="26"/>
      <c r="G1163" s="27" t="str">
        <f>"417/ｲﾜ"</f>
        <v>417/ｲﾜ</v>
      </c>
      <c r="H1163" s="4" t="str">
        <f>"2016/11/28"</f>
        <v>2016/11/28</v>
      </c>
      <c r="I1163" s="6">
        <v>2138</v>
      </c>
      <c r="J1163" s="6">
        <v>100</v>
      </c>
      <c r="K1163" s="4" t="str">
        <f t="shared" si="62"/>
        <v>1  和書</v>
      </c>
      <c r="L1163" s="7"/>
    </row>
    <row r="1164" spans="1:12" ht="24" x14ac:dyDescent="0.15">
      <c r="A1164" s="36">
        <v>1163</v>
      </c>
      <c r="B1164" s="3" t="s">
        <v>55</v>
      </c>
      <c r="C1164" s="4" t="str">
        <f>"0002767901"</f>
        <v>0002767901</v>
      </c>
      <c r="D1164" s="5" t="str">
        <f>"The R book : データ解析環境Rの活用事例集 / 岡田昌史編.-- 九天社; 2004.6."</f>
        <v>The R book : データ解析環境Rの活用事例集 / 岡田昌史編.-- 九天社; 2004.6.</v>
      </c>
      <c r="E1164" s="5" t="str">
        <f>""</f>
        <v/>
      </c>
      <c r="F1164" s="26"/>
      <c r="G1164" s="27" t="str">
        <f>"417/ｵｶ"</f>
        <v>417/ｵｶ</v>
      </c>
      <c r="H1164" s="4" t="str">
        <f>"2006/12/20"</f>
        <v>2006/12/20</v>
      </c>
      <c r="I1164" s="6">
        <v>3591</v>
      </c>
      <c r="J1164" s="6">
        <v>100</v>
      </c>
      <c r="K1164" s="4" t="str">
        <f t="shared" si="62"/>
        <v>1  和書</v>
      </c>
      <c r="L1164" s="7"/>
    </row>
    <row r="1165" spans="1:12" x14ac:dyDescent="0.15">
      <c r="A1165" s="36">
        <v>1164</v>
      </c>
      <c r="B1165" s="3" t="s">
        <v>55</v>
      </c>
      <c r="C1165" s="4" t="str">
        <f>"0001260618"</f>
        <v>0001260618</v>
      </c>
      <c r="D1165" s="5" t="str">
        <f>"数理計画法入門 / 押川元重, 南正義共著.-- 培風館; 1990.9."</f>
        <v>数理計画法入門 / 押川元重, 南正義共著.-- 培風館; 1990.9.</v>
      </c>
      <c r="E1165" s="5" t="str">
        <f>""</f>
        <v/>
      </c>
      <c r="F1165" s="26"/>
      <c r="G1165" s="27" t="str">
        <f>"417/ｵｼ"</f>
        <v>417/ｵｼ</v>
      </c>
      <c r="H1165" s="4" t="str">
        <f>"1996/01/26"</f>
        <v>1996/01/26</v>
      </c>
      <c r="I1165" s="6">
        <v>1798</v>
      </c>
      <c r="J1165" s="6">
        <v>100</v>
      </c>
      <c r="K1165" s="4" t="str">
        <f t="shared" si="62"/>
        <v>1  和書</v>
      </c>
      <c r="L1165" s="7"/>
    </row>
    <row r="1166" spans="1:12" ht="24" x14ac:dyDescent="0.15">
      <c r="A1166" s="36">
        <v>1165</v>
      </c>
      <c r="B1166" s="3" t="s">
        <v>55</v>
      </c>
      <c r="C1166" s="4" t="str">
        <f>"0002259819"</f>
        <v>0002259819</v>
      </c>
      <c r="D1166" s="5" t="str">
        <f>"空間データの数理 : 3次元コンピューティングに向けて / 金谷健一著.-- 朝倉書店; 1995.3."</f>
        <v>空間データの数理 : 3次元コンピューティングに向けて / 金谷健一著.-- 朝倉書店; 1995.3.</v>
      </c>
      <c r="E1166" s="5" t="str">
        <f>""</f>
        <v/>
      </c>
      <c r="F1166" s="26"/>
      <c r="G1166" s="27" t="str">
        <f>"417/ｶﾅ"</f>
        <v>417/ｶﾅ</v>
      </c>
      <c r="H1166" s="4" t="str">
        <f>"2000/10/24"</f>
        <v>2000/10/24</v>
      </c>
      <c r="I1166" s="6">
        <v>3780</v>
      </c>
      <c r="J1166" s="6">
        <v>100</v>
      </c>
      <c r="K1166" s="4" t="str">
        <f t="shared" si="62"/>
        <v>1  和書</v>
      </c>
      <c r="L1166" s="7"/>
    </row>
    <row r="1167" spans="1:12" ht="24" x14ac:dyDescent="0.15">
      <c r="A1167" s="36">
        <v>1166</v>
      </c>
      <c r="B1167" s="3" t="s">
        <v>55</v>
      </c>
      <c r="C1167" s="4" t="str">
        <f>"0001260625"</f>
        <v>0001260625</v>
      </c>
      <c r="D1167" s="5" t="str">
        <f>"システムの最適理論と最適化 / 嘉納秀明著.-- コロナ社; 1987.1.-- (コンピュータ制御機械システムシリーズ / 増淵正美 [ほか] 編 ; 3)."</f>
        <v>システムの最適理論と最適化 / 嘉納秀明著.-- コロナ社; 1987.1.-- (コンピュータ制御機械システムシリーズ / 増淵正美 [ほか] 編 ; 3).</v>
      </c>
      <c r="E1167" s="5" t="str">
        <f>""</f>
        <v/>
      </c>
      <c r="F1167" s="26"/>
      <c r="G1167" s="27" t="str">
        <f>"417/ｶﾉ"</f>
        <v>417/ｶﾉ</v>
      </c>
      <c r="H1167" s="4" t="str">
        <f>"1996/01/26"</f>
        <v>1996/01/26</v>
      </c>
      <c r="I1167" s="6">
        <v>3708</v>
      </c>
      <c r="J1167" s="6">
        <v>100</v>
      </c>
      <c r="K1167" s="4" t="str">
        <f t="shared" si="62"/>
        <v>1  和書</v>
      </c>
      <c r="L1167" s="7"/>
    </row>
    <row r="1168" spans="1:12" ht="24" x14ac:dyDescent="0.15">
      <c r="A1168" s="36">
        <v>1167</v>
      </c>
      <c r="B1168" s="3" t="s">
        <v>55</v>
      </c>
      <c r="C1168" s="4" t="str">
        <f>"0002772127"</f>
        <v>0002772127</v>
      </c>
      <c r="D1168" s="5" t="str">
        <f>"Rによるデータサイエンス : データ解析の基礎から最新手法まで / 金明哲著.-- 森北出版; 2007.10."</f>
        <v>Rによるデータサイエンス : データ解析の基礎から最新手法まで / 金明哲著.-- 森北出版; 2007.10.</v>
      </c>
      <c r="E1168" s="5" t="str">
        <f>""</f>
        <v/>
      </c>
      <c r="F1168" s="26"/>
      <c r="G1168" s="27" t="str">
        <f>"417/ｷﾝ"</f>
        <v>417/ｷﾝ</v>
      </c>
      <c r="H1168" s="4" t="str">
        <f>"2007/11/29"</f>
        <v>2007/11/29</v>
      </c>
      <c r="I1168" s="6">
        <v>3402</v>
      </c>
      <c r="J1168" s="6">
        <v>100</v>
      </c>
      <c r="K1168" s="4" t="str">
        <f t="shared" si="62"/>
        <v>1  和書</v>
      </c>
      <c r="L1168" s="7"/>
    </row>
    <row r="1169" spans="1:12" ht="24" x14ac:dyDescent="0.15">
      <c r="A1169" s="36">
        <v>1168</v>
      </c>
      <c r="B1169" s="3" t="s">
        <v>55</v>
      </c>
      <c r="C1169" s="4" t="str">
        <f>"0002254982"</f>
        <v>0002254982</v>
      </c>
      <c r="D1169" s="5" t="str">
        <f>"意思決定の基礎 / 松原望著.-- 新版.-- 朝倉書店; 1985.7.-- (現代人の統計 / 林知己夫編 ; 4)."</f>
        <v>意思決定の基礎 / 松原望著.-- 新版.-- 朝倉書店; 1985.7.-- (現代人の統計 / 林知己夫編 ; 4).</v>
      </c>
      <c r="E1169" s="5" t="str">
        <f>""</f>
        <v/>
      </c>
      <c r="F1169" s="26"/>
      <c r="G1169" s="27" t="str">
        <f>"417/ｹﾞﾝ/4"</f>
        <v>417/ｹﾞﾝ/4</v>
      </c>
      <c r="H1169" s="4" t="str">
        <f>"2000/05/25"</f>
        <v>2000/05/25</v>
      </c>
      <c r="I1169" s="6">
        <v>3685</v>
      </c>
      <c r="J1169" s="6">
        <v>100</v>
      </c>
      <c r="K1169" s="4" t="str">
        <f t="shared" si="62"/>
        <v>1  和書</v>
      </c>
      <c r="L1169" s="7"/>
    </row>
    <row r="1170" spans="1:12" x14ac:dyDescent="0.15">
      <c r="A1170" s="36">
        <v>1169</v>
      </c>
      <c r="B1170" s="3" t="s">
        <v>55</v>
      </c>
      <c r="C1170" s="4" t="str">
        <f>"0001284386"</f>
        <v>0001284386</v>
      </c>
      <c r="D1170" s="5" t="str">
        <f>"確率・統計入門 / 小針◆U665B◆宏著.-- 岩波書店; 1973.5."</f>
        <v>確率・統計入門 / 小針◆U665B◆宏著.-- 岩波書店; 1973.5.</v>
      </c>
      <c r="E1170" s="5" t="str">
        <f>""</f>
        <v/>
      </c>
      <c r="F1170" s="26"/>
      <c r="G1170" s="27" t="str">
        <f>"417/ｺﾊ"</f>
        <v>417/ｺﾊ</v>
      </c>
      <c r="H1170" s="4" t="str">
        <f>"1997/01/30"</f>
        <v>1997/01/30</v>
      </c>
      <c r="I1170" s="6">
        <v>2340</v>
      </c>
      <c r="J1170" s="6">
        <v>100</v>
      </c>
      <c r="K1170" s="4" t="str">
        <f t="shared" si="62"/>
        <v>1  和書</v>
      </c>
      <c r="L1170" s="7"/>
    </row>
    <row r="1171" spans="1:12" ht="24" x14ac:dyDescent="0.15">
      <c r="A1171" s="36">
        <v>1170</v>
      </c>
      <c r="B1171" s="3" t="s">
        <v>55</v>
      </c>
      <c r="C1171" s="4" t="str">
        <f>"0002799919"</f>
        <v>0002799919</v>
      </c>
      <c r="D1171" s="5" t="str">
        <f>"数理決定法入門 : キャンパスのOR / 今野浩著.-- 朝倉書店; 1992.9.-- (シリーズ「現代人の数理」 ; 5)."</f>
        <v>数理決定法入門 : キャンパスのOR / 今野浩著.-- 朝倉書店; 1992.9.-- (シリーズ「現代人の数理」 ; 5).</v>
      </c>
      <c r="E1171" s="5" t="str">
        <f>""</f>
        <v/>
      </c>
      <c r="F1171" s="26"/>
      <c r="G1171" s="27" t="str">
        <f>"417/ｺﾝ"</f>
        <v>417/ｺﾝ</v>
      </c>
      <c r="H1171" s="4" t="str">
        <f>"2011/09/27"</f>
        <v>2011/09/27</v>
      </c>
      <c r="I1171" s="6">
        <v>3307</v>
      </c>
      <c r="J1171" s="6">
        <v>100</v>
      </c>
      <c r="K1171" s="4" t="str">
        <f t="shared" si="62"/>
        <v>1  和書</v>
      </c>
      <c r="L1171" s="7"/>
    </row>
    <row r="1172" spans="1:12" ht="24" x14ac:dyDescent="0.15">
      <c r="A1172" s="36">
        <v>1171</v>
      </c>
      <c r="B1172" s="3" t="s">
        <v>55</v>
      </c>
      <c r="C1172" s="4" t="str">
        <f>"0002767499"</f>
        <v>0002767499</v>
      </c>
      <c r="D1172" s="5" t="str">
        <f>"関連性データの解析法 : 多次元尺度構成法とクラスター分析法 / 齋藤堯幸, 宿久洋著.-- 共立出版; 2006.9."</f>
        <v>関連性データの解析法 : 多次元尺度構成法とクラスター分析法 / 齋藤堯幸, 宿久洋著.-- 共立出版; 2006.9.</v>
      </c>
      <c r="E1172" s="4" t="str">
        <f>""</f>
        <v/>
      </c>
      <c r="F1172" s="26"/>
      <c r="G1172" s="27" t="str">
        <f>"417/ｻｲ"</f>
        <v>417/ｻｲ</v>
      </c>
      <c r="H1172" s="4" t="str">
        <f>"2006/11/21"</f>
        <v>2006/11/21</v>
      </c>
      <c r="I1172" s="6">
        <v>3024</v>
      </c>
      <c r="J1172" s="6">
        <v>100</v>
      </c>
      <c r="K1172" s="4" t="str">
        <f t="shared" si="62"/>
        <v>1  和書</v>
      </c>
      <c r="L1172" s="7"/>
    </row>
    <row r="1173" spans="1:12" ht="24" x14ac:dyDescent="0.15">
      <c r="A1173" s="36">
        <v>1172</v>
      </c>
      <c r="B1173" s="3" t="s">
        <v>55</v>
      </c>
      <c r="C1173" s="4" t="str">
        <f>"0002768151"</f>
        <v>0002768151</v>
      </c>
      <c r="D1173" s="5" t="str">
        <f>"関連性データの解析法 : 多次元尺度構成法とクラスター分析法 / 齋藤堯幸, 宿久洋著.-- 共立出版; 2006.9."</f>
        <v>関連性データの解析法 : 多次元尺度構成法とクラスター分析法 / 齋藤堯幸, 宿久洋著.-- 共立出版; 2006.9.</v>
      </c>
      <c r="E1173" s="4" t="str">
        <f>""</f>
        <v/>
      </c>
      <c r="F1173" s="26"/>
      <c r="G1173" s="27" t="str">
        <f>"417/ｻｲ"</f>
        <v>417/ｻｲ</v>
      </c>
      <c r="H1173" s="4" t="str">
        <f>"2007/01/12"</f>
        <v>2007/01/12</v>
      </c>
      <c r="I1173" s="6">
        <v>3024</v>
      </c>
      <c r="J1173" s="6">
        <v>100</v>
      </c>
      <c r="K1173" s="4" t="str">
        <f t="shared" si="62"/>
        <v>1  和書</v>
      </c>
      <c r="L1173" s="7"/>
    </row>
    <row r="1174" spans="1:12" x14ac:dyDescent="0.15">
      <c r="A1174" s="36">
        <v>1173</v>
      </c>
      <c r="B1174" s="3" t="s">
        <v>55</v>
      </c>
      <c r="C1174" s="4" t="str">
        <f>"0002797960"</f>
        <v>0002797960</v>
      </c>
      <c r="D1174" s="5" t="str">
        <f>"数理計画法の基礎 / 坂和正敏著.-- 森北出版; 1999.5."</f>
        <v>数理計画法の基礎 / 坂和正敏著.-- 森北出版; 1999.5.</v>
      </c>
      <c r="E1174" s="4" t="str">
        <f>""</f>
        <v/>
      </c>
      <c r="F1174" s="26"/>
      <c r="G1174" s="27" t="str">
        <f>"417/ｻｶ"</f>
        <v>417/ｻｶ</v>
      </c>
      <c r="H1174" s="4" t="str">
        <f>"2011/09/09"</f>
        <v>2011/09/09</v>
      </c>
      <c r="I1174" s="6">
        <v>2940</v>
      </c>
      <c r="J1174" s="6">
        <v>100</v>
      </c>
      <c r="K1174" s="4" t="str">
        <f t="shared" si="62"/>
        <v>1  和書</v>
      </c>
      <c r="L1174" s="7"/>
    </row>
    <row r="1175" spans="1:12" ht="24" x14ac:dyDescent="0.15">
      <c r="A1175" s="36">
        <v>1174</v>
      </c>
      <c r="B1175" s="3" t="s">
        <v>55</v>
      </c>
      <c r="C1175" s="4" t="str">
        <f>"0002789279"</f>
        <v>0002789279</v>
      </c>
      <c r="D1175" s="5" t="str">
        <f>"行動科学における統計解析法 / 芝祐順, 南風原朝和著.-- 東京大学出版会; 1990.3."</f>
        <v>行動科学における統計解析法 / 芝祐順, 南風原朝和著.-- 東京大学出版会; 1990.3.</v>
      </c>
      <c r="E1175" s="4" t="str">
        <f>""</f>
        <v/>
      </c>
      <c r="F1175" s="26"/>
      <c r="G1175" s="27" t="str">
        <f>"417/ｼﾊﾞ"</f>
        <v>417/ｼﾊﾞ</v>
      </c>
      <c r="H1175" s="4" t="str">
        <f>"2010/08/30"</f>
        <v>2010/08/30</v>
      </c>
      <c r="I1175" s="6">
        <v>2835</v>
      </c>
      <c r="J1175" s="6">
        <v>100</v>
      </c>
      <c r="K1175" s="4" t="str">
        <f t="shared" si="62"/>
        <v>1  和書</v>
      </c>
      <c r="L1175" s="7"/>
    </row>
    <row r="1176" spans="1:12" x14ac:dyDescent="0.15">
      <c r="A1176" s="36">
        <v>1175</v>
      </c>
      <c r="B1176" s="3" t="s">
        <v>55</v>
      </c>
      <c r="C1176" s="4" t="str">
        <f>"0001298598"</f>
        <v>0001298598</v>
      </c>
      <c r="D1176" s="5" t="str">
        <f>"数理計画法 / 志水清孝, 相吉英太郎共著.-- 昭晃堂; 1984.8."</f>
        <v>数理計画法 / 志水清孝, 相吉英太郎共著.-- 昭晃堂; 1984.8.</v>
      </c>
      <c r="E1176" s="4" t="str">
        <f>""</f>
        <v/>
      </c>
      <c r="F1176" s="26"/>
      <c r="G1176" s="27" t="str">
        <f>"417/ｼﾐ"</f>
        <v>417/ｼﾐ</v>
      </c>
      <c r="H1176" s="4" t="str">
        <f>"1997/10/15"</f>
        <v>1997/10/15</v>
      </c>
      <c r="I1176" s="6">
        <v>4630</v>
      </c>
      <c r="J1176" s="6">
        <v>100</v>
      </c>
      <c r="K1176" s="4" t="str">
        <f t="shared" si="62"/>
        <v>1  和書</v>
      </c>
      <c r="L1176" s="7"/>
    </row>
    <row r="1177" spans="1:12" ht="24" x14ac:dyDescent="0.15">
      <c r="A1177" s="36">
        <v>1176</v>
      </c>
      <c r="B1177" s="3" t="s">
        <v>55</v>
      </c>
      <c r="C1177" s="4" t="str">
        <f>"0000481472"</f>
        <v>0000481472</v>
      </c>
      <c r="D1177" s="5" t="str">
        <f>"動的計画法 / 杉山昌平著.-- 日科技連出版社; 1976.1.-- (ORライブラリー ; 8)."</f>
        <v>動的計画法 / 杉山昌平著.-- 日科技連出版社; 1976.1.-- (ORライブラリー ; 8).</v>
      </c>
      <c r="E1177" s="4" t="str">
        <f>""</f>
        <v/>
      </c>
      <c r="F1177" s="26"/>
      <c r="G1177" s="27" t="str">
        <f>"417/ｽｷﾞ"</f>
        <v>417/ｽｷﾞ</v>
      </c>
      <c r="H1177" s="4" t="str">
        <f>"1994/09/08"</f>
        <v>1994/09/08</v>
      </c>
      <c r="I1177" s="6">
        <v>2610</v>
      </c>
      <c r="J1177" s="6">
        <v>100</v>
      </c>
      <c r="K1177" s="4" t="str">
        <f t="shared" si="62"/>
        <v>1  和書</v>
      </c>
      <c r="L1177" s="7"/>
    </row>
    <row r="1178" spans="1:12" x14ac:dyDescent="0.15">
      <c r="A1178" s="36">
        <v>1177</v>
      </c>
      <c r="B1178" s="3" t="s">
        <v>55</v>
      </c>
      <c r="C1178" s="4" t="str">
        <f>"0002758855"</f>
        <v>0002758855</v>
      </c>
      <c r="D1178" s="5" t="str">
        <f>"情報量規準による統計解析入門 / 鈴木義一郎著.-- 講談社; 1995.4."</f>
        <v>情報量規準による統計解析入門 / 鈴木義一郎著.-- 講談社; 1995.4.</v>
      </c>
      <c r="E1178" s="4" t="str">
        <f>""</f>
        <v/>
      </c>
      <c r="F1178" s="26"/>
      <c r="G1178" s="27" t="str">
        <f>"417/ｽｽﾞ"</f>
        <v>417/ｽｽﾞ</v>
      </c>
      <c r="H1178" s="4" t="str">
        <f>"2004/12/13"</f>
        <v>2004/12/13</v>
      </c>
      <c r="I1178" s="6">
        <v>2567</v>
      </c>
      <c r="J1178" s="6">
        <v>100</v>
      </c>
      <c r="K1178" s="4" t="str">
        <f t="shared" si="62"/>
        <v>1  和書</v>
      </c>
      <c r="L1178" s="7"/>
    </row>
    <row r="1179" spans="1:12" ht="24" x14ac:dyDescent="0.15">
      <c r="A1179" s="36">
        <v>1178</v>
      </c>
      <c r="B1179" s="3" t="s">
        <v>55</v>
      </c>
      <c r="C1179" s="4" t="str">
        <f>"0002763187"</f>
        <v>0002763187</v>
      </c>
      <c r="D1179" s="5" t="str">
        <f>"最適化法 / 田村明久, 村松正和著.-- 共立出版; 2002.4.-- (工系数学講座 ; 17)."</f>
        <v>最適化法 / 田村明久, 村松正和著.-- 共立出版; 2002.4.-- (工系数学講座 ; 17).</v>
      </c>
      <c r="E1179" s="4" t="str">
        <f>""</f>
        <v/>
      </c>
      <c r="F1179" s="26"/>
      <c r="G1179" s="27" t="str">
        <f>"417/ﾀﾑ"</f>
        <v>417/ﾀﾑ</v>
      </c>
      <c r="H1179" s="4" t="str">
        <f>"2005/11/30"</f>
        <v>2005/11/30</v>
      </c>
      <c r="I1179" s="6">
        <v>2740</v>
      </c>
      <c r="J1179" s="6">
        <v>100</v>
      </c>
      <c r="K1179" s="4" t="str">
        <f t="shared" si="62"/>
        <v>1  和書</v>
      </c>
      <c r="L1179" s="7"/>
    </row>
    <row r="1180" spans="1:12" ht="24" x14ac:dyDescent="0.15">
      <c r="A1180" s="36">
        <v>1179</v>
      </c>
      <c r="B1180" s="3" t="s">
        <v>55</v>
      </c>
      <c r="C1180" s="4" t="str">
        <f>"0002765921"</f>
        <v>0002765921</v>
      </c>
      <c r="D1180" s="5" t="str">
        <f>"最適化法 / 田村明久, 村松正和著.-- 共立出版; 2002.4.-- (工系数学講座 ; 17)."</f>
        <v>最適化法 / 田村明久, 村松正和著.-- 共立出版; 2002.4.-- (工系数学講座 ; 17).</v>
      </c>
      <c r="E1180" s="4" t="str">
        <f>""</f>
        <v/>
      </c>
      <c r="F1180" s="26"/>
      <c r="G1180" s="27" t="str">
        <f>"417/ﾀﾑ"</f>
        <v>417/ﾀﾑ</v>
      </c>
      <c r="H1180" s="4" t="str">
        <f>"2006/07/13"</f>
        <v>2006/07/13</v>
      </c>
      <c r="I1180" s="6">
        <v>2740</v>
      </c>
      <c r="J1180" s="6">
        <v>100</v>
      </c>
      <c r="K1180" s="4" t="str">
        <f t="shared" si="62"/>
        <v>1  和書</v>
      </c>
      <c r="L1180" s="7"/>
    </row>
    <row r="1181" spans="1:12" x14ac:dyDescent="0.15">
      <c r="A1181" s="36">
        <v>1180</v>
      </c>
      <c r="B1181" s="3" t="s">
        <v>55</v>
      </c>
      <c r="C1181" s="10" t="str">
        <f>"0001104783"</f>
        <v>0001104783</v>
      </c>
      <c r="D1181" s="11" t="str">
        <f>"統計入門 / 中村隆英 [ほか] 著.-- 東京大学出版会; 1984.3."</f>
        <v>統計入門 / 中村隆英 [ほか] 著.-- 東京大学出版会; 1984.3.</v>
      </c>
      <c r="E1181" s="10" t="str">
        <f>""</f>
        <v/>
      </c>
      <c r="F1181" s="28" t="s">
        <v>8</v>
      </c>
      <c r="G1181" s="29" t="str">
        <f>"417/ﾅｶ"</f>
        <v>417/ﾅｶ</v>
      </c>
      <c r="H1181" s="10" t="str">
        <f>"1996/03/29"</f>
        <v>1996/03/29</v>
      </c>
      <c r="I1181" s="12">
        <v>1864</v>
      </c>
      <c r="J1181" s="12">
        <v>100</v>
      </c>
      <c r="K1181" s="10" t="str">
        <f t="shared" si="62"/>
        <v>1  和書</v>
      </c>
      <c r="L1181" s="13"/>
    </row>
    <row r="1182" spans="1:12" ht="24" x14ac:dyDescent="0.15">
      <c r="A1182" s="36">
        <v>1181</v>
      </c>
      <c r="B1182" s="3" t="s">
        <v>55</v>
      </c>
      <c r="C1182" s="4" t="str">
        <f>"0000890595"</f>
        <v>0000890595</v>
      </c>
      <c r="D1182" s="5" t="str">
        <f>"最適化ハンドブック / G.L. Nemhauser, A.H.G. Rinnooy Kan, M.J. Todd [編集].-- 朝倉書店; 1995.10."</f>
        <v>最適化ハンドブック / G.L. Nemhauser, A.H.G. Rinnooy Kan, M.J. Todd [編集].-- 朝倉書店; 1995.10.</v>
      </c>
      <c r="E1182" s="4" t="str">
        <f>""</f>
        <v/>
      </c>
      <c r="F1182" s="26"/>
      <c r="G1182" s="27" t="str">
        <f>"417/ﾈﾑ"</f>
        <v>417/ﾈﾑ</v>
      </c>
      <c r="H1182" s="4" t="str">
        <f>"1996/01/09"</f>
        <v>1996/01/09</v>
      </c>
      <c r="I1182" s="6">
        <v>16686</v>
      </c>
      <c r="J1182" s="8">
        <v>500</v>
      </c>
      <c r="K1182" s="4" t="str">
        <f t="shared" si="62"/>
        <v>1  和書</v>
      </c>
      <c r="L1182" s="7"/>
    </row>
    <row r="1183" spans="1:12" ht="24" x14ac:dyDescent="0.15">
      <c r="A1183" s="36">
        <v>1182</v>
      </c>
      <c r="B1183" s="3" t="s">
        <v>55</v>
      </c>
      <c r="C1183" s="4" t="str">
        <f>"0002254906"</f>
        <v>0002254906</v>
      </c>
      <c r="D1183" s="5" t="str">
        <f>"数理計画入門 / 福島雅夫著.-- 朝倉書店; 1996.9.-- (システム制御情報ライブラリー / システム制御情報学会編 ; 15)."</f>
        <v>数理計画入門 / 福島雅夫著.-- 朝倉書店; 1996.9.-- (システム制御情報ライブラリー / システム制御情報学会編 ; 15).</v>
      </c>
      <c r="E1183" s="4" t="str">
        <f>""</f>
        <v/>
      </c>
      <c r="F1183" s="26"/>
      <c r="G1183" s="27" t="str">
        <f>"417/ﾌｸ"</f>
        <v>417/ﾌｸ</v>
      </c>
      <c r="H1183" s="4" t="str">
        <f>"2000/05/22"</f>
        <v>2000/05/22</v>
      </c>
      <c r="I1183" s="6">
        <v>3213</v>
      </c>
      <c r="J1183" s="6">
        <v>100</v>
      </c>
      <c r="K1183" s="4" t="str">
        <f t="shared" si="62"/>
        <v>1  和書</v>
      </c>
      <c r="L1183" s="7"/>
    </row>
    <row r="1184" spans="1:12" ht="24" x14ac:dyDescent="0.15">
      <c r="A1184" s="36">
        <v>1183</v>
      </c>
      <c r="B1184" s="3" t="s">
        <v>55</v>
      </c>
      <c r="C1184" s="4" t="str">
        <f>"0002757209"</f>
        <v>0002757209</v>
      </c>
      <c r="D1184" s="5" t="str">
        <f>"数理計画入門 / 福島雅夫著.-- 朝倉書店; 1996.9.-- (システム制御情報ライブラリー / システム制御情報学会編 ; 15)."</f>
        <v>数理計画入門 / 福島雅夫著.-- 朝倉書店; 1996.9.-- (システム制御情報ライブラリー / システム制御情報学会編 ; 15).</v>
      </c>
      <c r="E1184" s="4" t="str">
        <f>""</f>
        <v/>
      </c>
      <c r="F1184" s="26"/>
      <c r="G1184" s="27" t="str">
        <f>"417/ﾌｸ"</f>
        <v>417/ﾌｸ</v>
      </c>
      <c r="H1184" s="4" t="str">
        <f>"2004/10/08"</f>
        <v>2004/10/08</v>
      </c>
      <c r="I1184" s="6">
        <v>3402</v>
      </c>
      <c r="J1184" s="6">
        <v>100</v>
      </c>
      <c r="K1184" s="4" t="str">
        <f t="shared" si="62"/>
        <v>1  和書</v>
      </c>
      <c r="L1184" s="7"/>
    </row>
    <row r="1185" spans="1:12" ht="24" x14ac:dyDescent="0.15">
      <c r="A1185" s="36">
        <v>1184</v>
      </c>
      <c r="B1185" s="3" t="s">
        <v>55</v>
      </c>
      <c r="C1185" s="4" t="str">
        <f>"0002784878"</f>
        <v>0002784878</v>
      </c>
      <c r="D1185" s="5" t="str">
        <f>"The R tips : データ解析環境Rの基本技・グラフィックス活用集 / 舟尾暢男著.-- 第2版.-- オーム社; 2009.11."</f>
        <v>The R tips : データ解析環境Rの基本技・グラフィックス活用集 / 舟尾暢男著.-- 第2版.-- オーム社; 2009.11.</v>
      </c>
      <c r="E1185" s="4" t="str">
        <f>""</f>
        <v/>
      </c>
      <c r="F1185" s="26"/>
      <c r="G1185" s="27" t="str">
        <f>"417/ﾌﾅ"</f>
        <v>417/ﾌﾅ</v>
      </c>
      <c r="H1185" s="4" t="str">
        <f>"2010/01/05"</f>
        <v>2010/01/05</v>
      </c>
      <c r="I1185" s="6">
        <v>3591</v>
      </c>
      <c r="J1185" s="6">
        <v>100</v>
      </c>
      <c r="K1185" s="4" t="str">
        <f t="shared" si="62"/>
        <v>1  和書</v>
      </c>
      <c r="L1185" s="7"/>
    </row>
    <row r="1186" spans="1:12" ht="24" x14ac:dyDescent="0.15">
      <c r="A1186" s="36">
        <v>1185</v>
      </c>
      <c r="B1186" s="3" t="s">
        <v>55</v>
      </c>
      <c r="C1186" s="4" t="str">
        <f>"0002790121"</f>
        <v>0002790121</v>
      </c>
      <c r="D1186" s="5" t="str">
        <f>"The R tips : データ解析環境Rの基本技・グラフィックス活用集 / 舟尾暢男著.-- 第2版.-- オーム社; 2009.11."</f>
        <v>The R tips : データ解析環境Rの基本技・グラフィックス活用集 / 舟尾暢男著.-- 第2版.-- オーム社; 2009.11.</v>
      </c>
      <c r="E1186" s="4" t="str">
        <f>""</f>
        <v/>
      </c>
      <c r="F1186" s="26"/>
      <c r="G1186" s="27" t="str">
        <f>"417/ﾌﾅ"</f>
        <v>417/ﾌﾅ</v>
      </c>
      <c r="H1186" s="4" t="str">
        <f>"2010/11/11"</f>
        <v>2010/11/11</v>
      </c>
      <c r="I1186" s="6">
        <v>3990</v>
      </c>
      <c r="J1186" s="6">
        <v>100</v>
      </c>
      <c r="K1186" s="4" t="str">
        <f t="shared" si="62"/>
        <v>1  和書</v>
      </c>
      <c r="L1186" s="7"/>
    </row>
    <row r="1187" spans="1:12" ht="36" x14ac:dyDescent="0.15">
      <c r="A1187" s="36">
        <v>1186</v>
      </c>
      <c r="B1187" s="3" t="s">
        <v>55</v>
      </c>
      <c r="C1187" s="4" t="str">
        <f>"0002297309"</f>
        <v>0002297309</v>
      </c>
      <c r="D1187" s="5" t="str">
        <f>"空間データモデリング : 空間統計学の応用 / 間瀬茂, 武田純著.-- 共立出版; 2001.5.-- (データサイエンス・シリーズ / 柴田里程 [ほか] 編集委員 ; 7)."</f>
        <v>空間データモデリング : 空間統計学の応用 / 間瀬茂, 武田純著.-- 共立出版; 2001.5.-- (データサイエンス・シリーズ / 柴田里程 [ほか] 編集委員 ; 7).</v>
      </c>
      <c r="E1187" s="4" t="str">
        <f>""</f>
        <v/>
      </c>
      <c r="F1187" s="26"/>
      <c r="G1187" s="27" t="str">
        <f>"417/ﾏｾ"</f>
        <v>417/ﾏｾ</v>
      </c>
      <c r="H1187" s="4" t="str">
        <f>"2003/08/28"</f>
        <v>2003/08/28</v>
      </c>
      <c r="I1187" s="6">
        <v>2835</v>
      </c>
      <c r="J1187" s="6">
        <v>100</v>
      </c>
      <c r="K1187" s="4" t="str">
        <f t="shared" si="62"/>
        <v>1  和書</v>
      </c>
      <c r="L1187" s="7"/>
    </row>
    <row r="1188" spans="1:12" ht="36" x14ac:dyDescent="0.15">
      <c r="A1188" s="36">
        <v>1187</v>
      </c>
      <c r="B1188" s="3" t="s">
        <v>55</v>
      </c>
      <c r="C1188" s="4" t="str">
        <f>"0002766485"</f>
        <v>0002766485</v>
      </c>
      <c r="D1188" s="5" t="str">
        <f>"空間データモデリング : 空間統計学の応用 / 間瀬茂, 武田純著.-- 共立出版; 2001.5.-- (データサイエンス・シリーズ / 柴田里程 [ほか] 編集委員 ; 7)."</f>
        <v>空間データモデリング : 空間統計学の応用 / 間瀬茂, 武田純著.-- 共立出版; 2001.5.-- (データサイエンス・シリーズ / 柴田里程 [ほか] 編集委員 ; 7).</v>
      </c>
      <c r="E1188" s="4" t="str">
        <f>""</f>
        <v/>
      </c>
      <c r="F1188" s="26"/>
      <c r="G1188" s="27" t="str">
        <f>"417/ﾏｾ"</f>
        <v>417/ﾏｾ</v>
      </c>
      <c r="H1188" s="4" t="str">
        <f>"2006/08/11"</f>
        <v>2006/08/11</v>
      </c>
      <c r="I1188" s="6">
        <v>2835</v>
      </c>
      <c r="J1188" s="6">
        <v>100</v>
      </c>
      <c r="K1188" s="4" t="str">
        <f t="shared" si="62"/>
        <v>1  和書</v>
      </c>
      <c r="L1188" s="7"/>
    </row>
    <row r="1189" spans="1:12" ht="24" x14ac:dyDescent="0.15">
      <c r="A1189" s="36">
        <v>1188</v>
      </c>
      <c r="B1189" s="3" t="s">
        <v>55</v>
      </c>
      <c r="C1189" s="4" t="str">
        <f>"0002794006"</f>
        <v>0002794006</v>
      </c>
      <c r="D1189" s="5" t="str">
        <f>"入門ベイズ統計 : 意思決定の理論と発展 / 松原望著.-- 東京図書; 2008.6."</f>
        <v>入門ベイズ統計 : 意思決定の理論と発展 / 松原望著.-- 東京図書; 2008.6.</v>
      </c>
      <c r="E1189" s="4" t="str">
        <f>""</f>
        <v/>
      </c>
      <c r="F1189" s="26"/>
      <c r="G1189" s="27" t="str">
        <f>"417/ﾏﾂ"</f>
        <v>417/ﾏﾂ</v>
      </c>
      <c r="H1189" s="4" t="str">
        <f>"2011/04/05"</f>
        <v>2011/04/05</v>
      </c>
      <c r="I1189" s="6">
        <v>3360</v>
      </c>
      <c r="J1189" s="6">
        <v>100</v>
      </c>
      <c r="K1189" s="4" t="str">
        <f t="shared" si="62"/>
        <v>1  和書</v>
      </c>
      <c r="L1189" s="7"/>
    </row>
    <row r="1190" spans="1:12" ht="24" x14ac:dyDescent="0.15">
      <c r="A1190" s="36">
        <v>1189</v>
      </c>
      <c r="B1190" s="3" t="s">
        <v>55</v>
      </c>
      <c r="C1190" s="4" t="str">
        <f>"0002758732"</f>
        <v>0002758732</v>
      </c>
      <c r="D1190" s="5" t="str">
        <f>"グラフィカルモデリング / 宮川雅巳著.-- 朝倉書店; 1997.3.-- (統計ライブラリー)."</f>
        <v>グラフィカルモデリング / 宮川雅巳著.-- 朝倉書店; 1997.3.-- (統計ライブラリー).</v>
      </c>
      <c r="E1190" s="4" t="str">
        <f>""</f>
        <v/>
      </c>
      <c r="F1190" s="26"/>
      <c r="G1190" s="27" t="str">
        <f>"417/ﾐﾔ"</f>
        <v>417/ﾐﾔ</v>
      </c>
      <c r="H1190" s="4" t="str">
        <f>"2004/12/06"</f>
        <v>2004/12/06</v>
      </c>
      <c r="I1190" s="6">
        <v>3591</v>
      </c>
      <c r="J1190" s="6">
        <v>100</v>
      </c>
      <c r="K1190" s="4" t="str">
        <f t="shared" si="62"/>
        <v>1  和書</v>
      </c>
      <c r="L1190" s="7"/>
    </row>
    <row r="1191" spans="1:12" ht="24" x14ac:dyDescent="0.15">
      <c r="A1191" s="36">
        <v>1190</v>
      </c>
      <c r="B1191" s="3" t="s">
        <v>55</v>
      </c>
      <c r="C1191" s="4" t="str">
        <f>"0002761404"</f>
        <v>0002761404</v>
      </c>
      <c r="D1191" s="5" t="str">
        <f>"グラフィカルモデリング / 宮川雅巳著.-- 朝倉書店; 1997.3.-- (統計ライブラリー)."</f>
        <v>グラフィカルモデリング / 宮川雅巳著.-- 朝倉書店; 1997.3.-- (統計ライブラリー).</v>
      </c>
      <c r="E1191" s="4" t="str">
        <f>""</f>
        <v/>
      </c>
      <c r="F1191" s="26"/>
      <c r="G1191" s="27" t="str">
        <f>"417/ﾐﾔ"</f>
        <v>417/ﾐﾔ</v>
      </c>
      <c r="H1191" s="4" t="str">
        <f>"2005/06/27"</f>
        <v>2005/06/27</v>
      </c>
      <c r="I1191" s="6">
        <v>3591</v>
      </c>
      <c r="J1191" s="6">
        <v>100</v>
      </c>
      <c r="K1191" s="4" t="str">
        <f t="shared" si="62"/>
        <v>1  和書</v>
      </c>
      <c r="L1191" s="7"/>
    </row>
    <row r="1192" spans="1:12" ht="24" x14ac:dyDescent="0.15">
      <c r="A1192" s="36">
        <v>1191</v>
      </c>
      <c r="B1192" s="3" t="s">
        <v>55</v>
      </c>
      <c r="C1192" s="4" t="str">
        <f>"0000481465"</f>
        <v>0000481465</v>
      </c>
      <c r="D1192" s="5" t="str">
        <f>"マルコフ解析 / 森村英典, 高橋幸雄著.-- 日科技連出版社; 1979.3.-- (ORライブラリー ; 18)."</f>
        <v>マルコフ解析 / 森村英典, 高橋幸雄著.-- 日科技連出版社; 1979.3.-- (ORライブラリー ; 18).</v>
      </c>
      <c r="E1192" s="4" t="str">
        <f>""</f>
        <v/>
      </c>
      <c r="F1192" s="26"/>
      <c r="G1192" s="27" t="str">
        <f>"417/ﾓﾘ"</f>
        <v>417/ﾓﾘ</v>
      </c>
      <c r="H1192" s="4" t="str">
        <f>"1994/09/08"</f>
        <v>1994/09/08</v>
      </c>
      <c r="I1192" s="6">
        <v>3510</v>
      </c>
      <c r="J1192" s="6">
        <v>100</v>
      </c>
      <c r="K1192" s="4" t="str">
        <f t="shared" si="62"/>
        <v>1  和書</v>
      </c>
      <c r="L1192" s="7"/>
    </row>
    <row r="1193" spans="1:12" ht="24" x14ac:dyDescent="0.15">
      <c r="A1193" s="36">
        <v>1192</v>
      </c>
      <c r="B1193" s="3" t="s">
        <v>55</v>
      </c>
      <c r="C1193" s="4" t="str">
        <f>"0002766034"</f>
        <v>0002766034</v>
      </c>
      <c r="D1193" s="5" t="str">
        <f>"最適化とその応用 : 工学基礎 / 矢部博著.-- 数理工学社.-- (新・工科系の数学 ; TKM-A4)."</f>
        <v>最適化とその応用 : 工学基礎 / 矢部博著.-- 数理工学社.-- (新・工科系の数学 ; TKM-A4).</v>
      </c>
      <c r="E1193" s="4" t="str">
        <f>""</f>
        <v/>
      </c>
      <c r="F1193" s="26"/>
      <c r="G1193" s="27" t="str">
        <f>"417/ﾔﾍﾞ"</f>
        <v>417/ﾔﾍﾞ</v>
      </c>
      <c r="H1193" s="4" t="str">
        <f>"2006/07/19"</f>
        <v>2006/07/19</v>
      </c>
      <c r="I1193" s="6">
        <v>2173</v>
      </c>
      <c r="J1193" s="6">
        <v>100</v>
      </c>
      <c r="K1193" s="4" t="str">
        <f t="shared" si="62"/>
        <v>1  和書</v>
      </c>
      <c r="L1193" s="7"/>
    </row>
    <row r="1194" spans="1:12" ht="24" x14ac:dyDescent="0.15">
      <c r="A1194" s="36">
        <v>1193</v>
      </c>
      <c r="B1194" s="3" t="s">
        <v>55</v>
      </c>
      <c r="C1194" s="4" t="str">
        <f>"0002760902"</f>
        <v>0002760902</v>
      </c>
      <c r="D1194" s="5" t="str">
        <f>"確率と統計 : 情報学への架橋 / 渡辺澄夫, 村田昇共著.-- コロナ社; 2005.4."</f>
        <v>確率と統計 : 情報学への架橋 / 渡辺澄夫, 村田昇共著.-- コロナ社; 2005.4.</v>
      </c>
      <c r="E1194" s="4" t="str">
        <f>""</f>
        <v/>
      </c>
      <c r="F1194" s="26"/>
      <c r="G1194" s="27" t="str">
        <f>"417/ﾜﾀ"</f>
        <v>417/ﾜﾀ</v>
      </c>
      <c r="H1194" s="4" t="str">
        <f>"2005/04/12"</f>
        <v>2005/04/12</v>
      </c>
      <c r="I1194" s="6">
        <v>2268</v>
      </c>
      <c r="J1194" s="6">
        <v>100</v>
      </c>
      <c r="K1194" s="4" t="str">
        <f t="shared" si="62"/>
        <v>1  和書</v>
      </c>
      <c r="L1194" s="7"/>
    </row>
    <row r="1195" spans="1:12" ht="24" x14ac:dyDescent="0.15">
      <c r="A1195" s="36">
        <v>1194</v>
      </c>
      <c r="B1195" s="3" t="s">
        <v>55</v>
      </c>
      <c r="C1195" s="4" t="str">
        <f>"0002766294"</f>
        <v>0002766294</v>
      </c>
      <c r="D1195" s="5" t="str">
        <f>"キーポイント確率・統計 / 和達三樹, 十河清著.-- 岩波書店; 1993.2.-- (理工系数学のキーポイント / 和達三樹, 薩摩順吉編 ; 6)."</f>
        <v>キーポイント確率・統計 / 和達三樹, 十河清著.-- 岩波書店; 1993.2.-- (理工系数学のキーポイント / 和達三樹, 薩摩順吉編 ; 6).</v>
      </c>
      <c r="E1195" s="4" t="str">
        <f>""</f>
        <v/>
      </c>
      <c r="F1195" s="26"/>
      <c r="G1195" s="27" t="str">
        <f>"417/ﾜﾀﾞ"</f>
        <v>417/ﾜﾀﾞ</v>
      </c>
      <c r="H1195" s="4" t="str">
        <f>"2006/07/31"</f>
        <v>2006/07/31</v>
      </c>
      <c r="I1195" s="6">
        <v>2173</v>
      </c>
      <c r="J1195" s="6">
        <v>100</v>
      </c>
      <c r="K1195" s="4" t="str">
        <f t="shared" si="62"/>
        <v>1  和書</v>
      </c>
      <c r="L1195" s="7"/>
    </row>
    <row r="1196" spans="1:12" ht="24" x14ac:dyDescent="0.15">
      <c r="A1196" s="36">
        <v>1195</v>
      </c>
      <c r="B1196" s="3" t="s">
        <v>55</v>
      </c>
      <c r="C1196" s="4" t="str">
        <f>"0002767604"</f>
        <v>0002767604</v>
      </c>
      <c r="D1196" s="5" t="str">
        <f>"Convex optimization / Stephen Boyd, Lieven Vandenberghe.-- Cambridge University Press; 2004."</f>
        <v>Convex optimization / Stephen Boyd, Lieven Vandenberghe.-- Cambridge University Press; 2004.</v>
      </c>
      <c r="E1196" s="4" t="str">
        <f>""</f>
        <v/>
      </c>
      <c r="F1196" s="26"/>
      <c r="G1196" s="27" t="str">
        <f>"417/BO"</f>
        <v>417/BO</v>
      </c>
      <c r="H1196" s="4" t="str">
        <f>"2006/12/07"</f>
        <v>2006/12/07</v>
      </c>
      <c r="I1196" s="6">
        <v>11907</v>
      </c>
      <c r="J1196" s="8">
        <v>500</v>
      </c>
      <c r="K1196" s="4" t="str">
        <f t="shared" ref="K1196:K1203" si="64">"2  洋書"</f>
        <v>2  洋書</v>
      </c>
      <c r="L1196" s="7"/>
    </row>
    <row r="1197" spans="1:12" ht="24" x14ac:dyDescent="0.15">
      <c r="A1197" s="36">
        <v>1196</v>
      </c>
      <c r="B1197" s="3" t="s">
        <v>55</v>
      </c>
      <c r="C1197" s="4" t="str">
        <f>"0001293425"</f>
        <v>0001293425</v>
      </c>
      <c r="D1197" s="5" t="str">
        <f>"Classification and regression trees / Leo Breiman ... [et al.].-- Chapman &amp; Hall; c1984."</f>
        <v>Classification and regression trees / Leo Breiman ... [et al.].-- Chapman &amp; Hall; c1984.</v>
      </c>
      <c r="E1197" s="4" t="str">
        <f>""</f>
        <v/>
      </c>
      <c r="F1197" s="26"/>
      <c r="G1197" s="27" t="str">
        <f>"417/CL"</f>
        <v>417/CL</v>
      </c>
      <c r="H1197" s="4" t="str">
        <f>"1997/06/17"</f>
        <v>1997/06/17</v>
      </c>
      <c r="I1197" s="6">
        <v>9119</v>
      </c>
      <c r="J1197" s="6">
        <v>100</v>
      </c>
      <c r="K1197" s="4" t="str">
        <f t="shared" si="64"/>
        <v>2  洋書</v>
      </c>
      <c r="L1197" s="7"/>
    </row>
    <row r="1198" spans="1:12" ht="36" x14ac:dyDescent="0.15">
      <c r="A1198" s="36">
        <v>1197</v>
      </c>
      <c r="B1198" s="3" t="s">
        <v>55</v>
      </c>
      <c r="C1198" s="4" t="str">
        <f>"0002766706"</f>
        <v>0002766706</v>
      </c>
      <c r="D1198" s="5" t="str">
        <f>"Statistics for spatial data / Noel A.C. Cressie.-- Rev. ed.-- J. Wiley &amp; Sons; c1993.-- (Wiley series in probability and mathematical statistics ; . Applied probability and statistics)."</f>
        <v>Statistics for spatial data / Noel A.C. Cressie.-- Rev. ed.-- J. Wiley &amp; Sons; c1993.-- (Wiley series in probability and mathematical statistics ; . Applied probability and statistics).</v>
      </c>
      <c r="E1198" s="4" t="str">
        <f>""</f>
        <v/>
      </c>
      <c r="F1198" s="26"/>
      <c r="G1198" s="27" t="str">
        <f>"417/CR"</f>
        <v>417/CR</v>
      </c>
      <c r="H1198" s="4" t="str">
        <f>"2006/09/04"</f>
        <v>2006/09/04</v>
      </c>
      <c r="I1198" s="6">
        <v>25628</v>
      </c>
      <c r="J1198" s="8">
        <v>1000</v>
      </c>
      <c r="K1198" s="4" t="str">
        <f t="shared" si="64"/>
        <v>2  洋書</v>
      </c>
      <c r="L1198" s="7"/>
    </row>
    <row r="1199" spans="1:12" ht="24" x14ac:dyDescent="0.15">
      <c r="A1199" s="36">
        <v>1198</v>
      </c>
      <c r="B1199" s="3" t="s">
        <v>55</v>
      </c>
      <c r="C1199" s="4" t="str">
        <f>"0002767185"</f>
        <v>0002767185</v>
      </c>
      <c r="D1199" s="5" t="str">
        <f>"Bayesian data analysis / Andrew Gelman ... [et al.] ; : [hardback].-- 2nd ed.-- Chapman &amp; Hall/CRC; c2004.-- (Texts in statistical science)."</f>
        <v>Bayesian data analysis / Andrew Gelman ... [et al.] ; : [hardback].-- 2nd ed.-- Chapman &amp; Hall/CRC; c2004.-- (Texts in statistical science).</v>
      </c>
      <c r="E1199" s="4" t="str">
        <f>": [hardback]"</f>
        <v>: [hardback]</v>
      </c>
      <c r="F1199" s="26"/>
      <c r="G1199" s="27" t="str">
        <f>"417/GE"</f>
        <v>417/GE</v>
      </c>
      <c r="H1199" s="4" t="str">
        <f>"2006/09/08"</f>
        <v>2006/09/08</v>
      </c>
      <c r="I1199" s="6">
        <v>11075</v>
      </c>
      <c r="J1199" s="8">
        <v>500</v>
      </c>
      <c r="K1199" s="4" t="str">
        <f t="shared" si="64"/>
        <v>2  洋書</v>
      </c>
      <c r="L1199" s="7"/>
    </row>
    <row r="1200" spans="1:12" ht="24" x14ac:dyDescent="0.15">
      <c r="A1200" s="36">
        <v>1199</v>
      </c>
      <c r="B1200" s="3" t="s">
        <v>55</v>
      </c>
      <c r="C1200" s="4" t="str">
        <f>"0002765594"</f>
        <v>0002765594</v>
      </c>
      <c r="D1200" s="5" t="str">
        <f>"Bayesian networks and decision graphs / Finn V. Jensen.-- Springer; c2001.-- (Statistics for engineering and information science)."</f>
        <v>Bayesian networks and decision graphs / Finn V. Jensen.-- Springer; c2001.-- (Statistics for engineering and information science).</v>
      </c>
      <c r="E1200" s="4" t="str">
        <f>""</f>
        <v/>
      </c>
      <c r="F1200" s="26"/>
      <c r="G1200" s="27" t="str">
        <f>"417/JE"</f>
        <v>417/JE</v>
      </c>
      <c r="H1200" s="4" t="str">
        <f>"2006/05/09"</f>
        <v>2006/05/09</v>
      </c>
      <c r="I1200" s="6">
        <v>14269</v>
      </c>
      <c r="J1200" s="8">
        <v>500</v>
      </c>
      <c r="K1200" s="4" t="str">
        <f t="shared" si="64"/>
        <v>2  洋書</v>
      </c>
      <c r="L1200" s="7"/>
    </row>
    <row r="1201" spans="1:12" ht="24" x14ac:dyDescent="0.15">
      <c r="A1201" s="36">
        <v>1200</v>
      </c>
      <c r="B1201" s="3" t="s">
        <v>55</v>
      </c>
      <c r="C1201" s="4" t="str">
        <f>"0002284156"</f>
        <v>0002284156</v>
      </c>
      <c r="D1201" s="5" t="str">
        <f>"Learning in graphical models / edited by Michael I. Jordan ; : pbk.-- MIT Press; 1999, c1998.-- (Adaptive computation and machine learning)."</f>
        <v>Learning in graphical models / edited by Michael I. Jordan ; : pbk.-- MIT Press; 1999, c1998.-- (Adaptive computation and machine learning).</v>
      </c>
      <c r="E1201" s="4" t="str">
        <f>": pbk"</f>
        <v>: pbk</v>
      </c>
      <c r="F1201" s="26"/>
      <c r="G1201" s="27" t="str">
        <f>"417/JO"</f>
        <v>417/JO</v>
      </c>
      <c r="H1201" s="4" t="str">
        <f>"2002/06/19"</f>
        <v>2002/06/19</v>
      </c>
      <c r="I1201" s="6">
        <v>10829</v>
      </c>
      <c r="J1201" s="8">
        <v>500</v>
      </c>
      <c r="K1201" s="4" t="str">
        <f t="shared" si="64"/>
        <v>2  洋書</v>
      </c>
      <c r="L1201" s="7"/>
    </row>
    <row r="1202" spans="1:12" ht="36" x14ac:dyDescent="0.15">
      <c r="A1202" s="36">
        <v>1201</v>
      </c>
      <c r="B1202" s="3" t="s">
        <v>55</v>
      </c>
      <c r="C1202" s="4" t="str">
        <f>"0002772271"</f>
        <v>0002772271</v>
      </c>
      <c r="D1202" s="5" t="str">
        <f>"Numerical optimization / Jorge Nocedal, Stephen J. Wright.-- 2nd ed.-- Springer; c2006.-- (Springer series in operations research and financial engineering)."</f>
        <v>Numerical optimization / Jorge Nocedal, Stephen J. Wright.-- 2nd ed.-- Springer; c2006.-- (Springer series in operations research and financial engineering).</v>
      </c>
      <c r="E1202" s="4" t="str">
        <f>""</f>
        <v/>
      </c>
      <c r="F1202" s="26"/>
      <c r="G1202" s="27" t="str">
        <f>"417/NO"</f>
        <v>417/NO</v>
      </c>
      <c r="H1202" s="4" t="str">
        <f>"2007/11/15"</f>
        <v>2007/11/15</v>
      </c>
      <c r="I1202" s="6">
        <v>14808</v>
      </c>
      <c r="J1202" s="8">
        <v>500</v>
      </c>
      <c r="K1202" s="4" t="str">
        <f t="shared" si="64"/>
        <v>2  洋書</v>
      </c>
      <c r="L1202" s="7"/>
    </row>
    <row r="1203" spans="1:12" ht="36" x14ac:dyDescent="0.15">
      <c r="A1203" s="36">
        <v>1202</v>
      </c>
      <c r="B1203" s="3" t="s">
        <v>55</v>
      </c>
      <c r="C1203" s="4" t="str">
        <f>"0002766157"</f>
        <v>0002766157</v>
      </c>
      <c r="D1203" s="5" t="str">
        <f>"Image analysis, random fields and Markov chain Monte Carlo methods : a mathematical introduction / Gerhard Winkler.-- 2nd ed.-- Springer; c2003.-- (Applications of mathematics ; 27)."</f>
        <v>Image analysis, random fields and Markov chain Monte Carlo methods : a mathematical introduction / Gerhard Winkler.-- 2nd ed.-- Springer; c2003.-- (Applications of mathematics ; 27).</v>
      </c>
      <c r="E1203" s="4" t="str">
        <f>""</f>
        <v/>
      </c>
      <c r="F1203" s="26"/>
      <c r="G1203" s="27" t="str">
        <f>"417/WI"</f>
        <v>417/WI</v>
      </c>
      <c r="H1203" s="4" t="str">
        <f>"2006/08/09"</f>
        <v>2006/08/09</v>
      </c>
      <c r="I1203" s="6">
        <v>15573</v>
      </c>
      <c r="J1203" s="8">
        <v>500</v>
      </c>
      <c r="K1203" s="4" t="str">
        <f t="shared" si="64"/>
        <v>2  洋書</v>
      </c>
      <c r="L1203" s="7"/>
    </row>
    <row r="1204" spans="1:12" ht="24" x14ac:dyDescent="0.15">
      <c r="A1204" s="36">
        <v>1203</v>
      </c>
      <c r="B1204" s="3" t="s">
        <v>55</v>
      </c>
      <c r="C1204" s="4" t="str">
        <f>"0002790145"</f>
        <v>0002790145</v>
      </c>
      <c r="D1204" s="5" t="str">
        <f>"パターン認識 / 金森敬文, 竹之内高志, 村田昇著.-- 共立出版; 2009.10.-- (Rで学ぶデータサイエンス / 金明哲編集 ; 5)."</f>
        <v>パターン認識 / 金森敬文, 竹之内高志, 村田昇著.-- 共立出版; 2009.10.-- (Rで学ぶデータサイエンス / 金明哲編集 ; 5).</v>
      </c>
      <c r="E1204" s="4" t="str">
        <f>""</f>
        <v/>
      </c>
      <c r="F1204" s="26"/>
      <c r="G1204" s="27" t="str">
        <f>"417.08/ｷﾝ/5"</f>
        <v>417.08/ｷﾝ/5</v>
      </c>
      <c r="H1204" s="4" t="str">
        <f>"2010/11/11"</f>
        <v>2010/11/11</v>
      </c>
      <c r="I1204" s="6">
        <v>3885</v>
      </c>
      <c r="J1204" s="6">
        <v>100</v>
      </c>
      <c r="K1204" s="4" t="str">
        <f t="shared" si="62"/>
        <v>1  和書</v>
      </c>
      <c r="L1204" s="7"/>
    </row>
    <row r="1205" spans="1:12" ht="24" x14ac:dyDescent="0.15">
      <c r="A1205" s="36">
        <v>1204</v>
      </c>
      <c r="B1205" s="3" t="s">
        <v>55</v>
      </c>
      <c r="C1205" s="4" t="str">
        <f>"0002790152"</f>
        <v>0002790152</v>
      </c>
      <c r="D1205" s="5" t="str">
        <f>"マシンラーニング / 辻谷將明, 竹澤邦夫著.-- 共立出版; 2009.6.-- (Rで学ぶデータサイエンス / 金明哲編集 ; 6)."</f>
        <v>マシンラーニング / 辻谷將明, 竹澤邦夫著.-- 共立出版; 2009.6.-- (Rで学ぶデータサイエンス / 金明哲編集 ; 6).</v>
      </c>
      <c r="E1205" s="4" t="str">
        <f>""</f>
        <v/>
      </c>
      <c r="F1205" s="26"/>
      <c r="G1205" s="27" t="str">
        <f>"417.08/ｷﾝ/6"</f>
        <v>417.08/ｷﾝ/6</v>
      </c>
      <c r="H1205" s="4" t="str">
        <f>"2010/11/11"</f>
        <v>2010/11/11</v>
      </c>
      <c r="I1205" s="6">
        <v>3675</v>
      </c>
      <c r="J1205" s="6">
        <v>100</v>
      </c>
      <c r="K1205" s="4" t="str">
        <f t="shared" si="62"/>
        <v>1  和書</v>
      </c>
      <c r="L1205" s="7"/>
    </row>
    <row r="1206" spans="1:12" ht="24" x14ac:dyDescent="0.15">
      <c r="A1206" s="36">
        <v>1205</v>
      </c>
      <c r="B1206" s="3" t="s">
        <v>55</v>
      </c>
      <c r="C1206" s="4" t="str">
        <f>"0002790169"</f>
        <v>0002790169</v>
      </c>
      <c r="D1206" s="5" t="str">
        <f>"ネットワーク分析 / 鈴木努著.-- 共立出版; 2009.9.-- (Rで学ぶデータサイエンス / 金明哲編集 ; 8)."</f>
        <v>ネットワーク分析 / 鈴木努著.-- 共立出版; 2009.9.-- (Rで学ぶデータサイエンス / 金明哲編集 ; 8).</v>
      </c>
      <c r="E1206" s="4" t="str">
        <f>""</f>
        <v/>
      </c>
      <c r="F1206" s="26"/>
      <c r="G1206" s="27" t="str">
        <f>"417.08/ｷﾝ/8"</f>
        <v>417.08/ｷﾝ/8</v>
      </c>
      <c r="H1206" s="4" t="str">
        <f>"2010/11/11"</f>
        <v>2010/11/11</v>
      </c>
      <c r="I1206" s="6">
        <v>3465</v>
      </c>
      <c r="J1206" s="6">
        <v>100</v>
      </c>
      <c r="K1206" s="4" t="str">
        <f t="shared" si="62"/>
        <v>1  和書</v>
      </c>
      <c r="L1206" s="7"/>
    </row>
    <row r="1207" spans="1:12" ht="36" x14ac:dyDescent="0.15">
      <c r="A1207" s="36">
        <v>1206</v>
      </c>
      <c r="B1207" s="3" t="s">
        <v>55</v>
      </c>
      <c r="C1207" s="4" t="str">
        <f>"0002283661"</f>
        <v>0002283661</v>
      </c>
      <c r="D1207" s="5" t="str">
        <f>"確率システム入門 / システム制御情報学会編 ; 大住晃著.-- 朝倉書店; 2002.3.-- (システム制御情報ライブラリー / システム制御情報学会編 ; 24)."</f>
        <v>確率システム入門 / システム制御情報学会編 ; 大住晃著.-- 朝倉書店; 2002.3.-- (システム制御情報ライブラリー / システム制御情報学会編 ; 24).</v>
      </c>
      <c r="E1207" s="4" t="str">
        <f>""</f>
        <v/>
      </c>
      <c r="F1207" s="26"/>
      <c r="G1207" s="27" t="str">
        <f>"417.1/ｵｵ"</f>
        <v>417.1/ｵｵ</v>
      </c>
      <c r="H1207" s="4" t="str">
        <f>"2002/06/05"</f>
        <v>2002/06/05</v>
      </c>
      <c r="I1207" s="6">
        <v>3780</v>
      </c>
      <c r="J1207" s="6">
        <v>100</v>
      </c>
      <c r="K1207" s="4" t="str">
        <f>"1  和書"</f>
        <v>1  和書</v>
      </c>
      <c r="L1207" s="7"/>
    </row>
    <row r="1208" spans="1:12" x14ac:dyDescent="0.15">
      <c r="A1208" s="36">
        <v>1207</v>
      </c>
      <c r="B1208" s="3" t="s">
        <v>55</v>
      </c>
      <c r="C1208" s="4" t="str">
        <f>"0000643702"</f>
        <v>0000643702</v>
      </c>
      <c r="D1208" s="5" t="str">
        <f>"測度から確率へ : はじめての確率論 / 佐藤坦著.-- 共立出版; 1994.2."</f>
        <v>測度から確率へ : はじめての確率論 / 佐藤坦著.-- 共立出版; 1994.2.</v>
      </c>
      <c r="E1208" s="4" t="str">
        <f>""</f>
        <v/>
      </c>
      <c r="F1208" s="26"/>
      <c r="G1208" s="27" t="str">
        <f>"417.1/ｻﾄ"</f>
        <v>417.1/ｻﾄ</v>
      </c>
      <c r="H1208" s="4" t="str">
        <f>"1995/03/31"</f>
        <v>1995/03/31</v>
      </c>
      <c r="I1208" s="6">
        <v>2226</v>
      </c>
      <c r="J1208" s="6">
        <v>100</v>
      </c>
      <c r="K1208" s="4" t="str">
        <f>"1  和書"</f>
        <v>1  和書</v>
      </c>
      <c r="L1208" s="7"/>
    </row>
    <row r="1209" spans="1:12" x14ac:dyDescent="0.15">
      <c r="A1209" s="36">
        <v>1208</v>
      </c>
      <c r="B1209" s="3" t="s">
        <v>55</v>
      </c>
      <c r="C1209" s="4" t="str">
        <f>"0002767512"</f>
        <v>0002767512</v>
      </c>
      <c r="D1209" s="5" t="str">
        <f>"Kalman-Bucyのフィルター理論 / 津野義道著.-- 共立出版; 2006.9."</f>
        <v>Kalman-Bucyのフィルター理論 / 津野義道著.-- 共立出版; 2006.9.</v>
      </c>
      <c r="E1209" s="4" t="str">
        <f>""</f>
        <v/>
      </c>
      <c r="F1209" s="26"/>
      <c r="G1209" s="27" t="str">
        <f>"417.1/ﾂﾉ"</f>
        <v>417.1/ﾂﾉ</v>
      </c>
      <c r="H1209" s="4" t="str">
        <f>"2006/11/21"</f>
        <v>2006/11/21</v>
      </c>
      <c r="I1209" s="6">
        <v>3685</v>
      </c>
      <c r="J1209" s="6">
        <v>100</v>
      </c>
      <c r="K1209" s="4" t="str">
        <f>"1  和書"</f>
        <v>1  和書</v>
      </c>
      <c r="L1209" s="7"/>
    </row>
    <row r="1210" spans="1:12" ht="24" x14ac:dyDescent="0.15">
      <c r="A1210" s="36">
        <v>1209</v>
      </c>
      <c r="B1210" s="3" t="s">
        <v>55</v>
      </c>
      <c r="C1210" s="4" t="str">
        <f>"0000889735"</f>
        <v>0000889735</v>
      </c>
      <c r="D1210" s="5" t="str">
        <f>"確率モデルハンドブック / D. P. Heyman, M. J. Sobel [編].-- 朝倉書店; 1995.11."</f>
        <v>確率モデルハンドブック / D. P. Heyman, M. J. Sobel [編].-- 朝倉書店; 1995.11.</v>
      </c>
      <c r="E1210" s="4" t="str">
        <f>""</f>
        <v/>
      </c>
      <c r="F1210" s="26"/>
      <c r="G1210" s="27" t="str">
        <f>"R417.1/ﾍｲ"</f>
        <v>R417.1/ﾍｲ</v>
      </c>
      <c r="H1210" s="4" t="str">
        <f>"1995/12/29"</f>
        <v>1995/12/29</v>
      </c>
      <c r="I1210" s="6">
        <v>16686</v>
      </c>
      <c r="J1210" s="8">
        <v>500</v>
      </c>
      <c r="K1210" s="4" t="str">
        <f>"1  和書"</f>
        <v>1  和書</v>
      </c>
      <c r="L1210" s="7"/>
    </row>
    <row r="1211" spans="1:12" x14ac:dyDescent="0.15">
      <c r="A1211" s="36">
        <v>1210</v>
      </c>
      <c r="B1211" s="3" t="s">
        <v>55</v>
      </c>
      <c r="C1211" s="4" t="str">
        <f>"0002756011"</f>
        <v>0002756011</v>
      </c>
      <c r="D1211" s="5" t="str">
        <f>"入門確率過程 / 松原望著.-- 東京図書; 2003.11."</f>
        <v>入門確率過程 / 松原望著.-- 東京図書; 2003.11.</v>
      </c>
      <c r="E1211" s="4" t="str">
        <f>""</f>
        <v/>
      </c>
      <c r="F1211" s="26"/>
      <c r="G1211" s="27" t="str">
        <f>"417.1/ﾏﾂ"</f>
        <v>417.1/ﾏﾂ</v>
      </c>
      <c r="H1211" s="4" t="str">
        <f>"2004/07/29"</f>
        <v>2004/07/29</v>
      </c>
      <c r="I1211" s="6">
        <v>2835</v>
      </c>
      <c r="J1211" s="6">
        <v>100</v>
      </c>
      <c r="K1211" s="4" t="str">
        <f>"1  和書"</f>
        <v>1  和書</v>
      </c>
      <c r="L1211" s="7"/>
    </row>
    <row r="1212" spans="1:12" ht="36" x14ac:dyDescent="0.15">
      <c r="A1212" s="36">
        <v>1211</v>
      </c>
      <c r="B1212" s="3" t="s">
        <v>55</v>
      </c>
      <c r="C1212" s="4" t="str">
        <f>"0001269598"</f>
        <v>0001269598</v>
      </c>
      <c r="D1212" s="5" t="str">
        <f>"A probabilistic theory of pattern recognition / Luc Devroye, L◆U00E1◆szl◆U00F3◆ Gy◆U00F6◆rfi, G◆U00E1◆bor Lugosi.-- Springer; c1996.-- (Applications of mathematics ; 31)."</f>
        <v>A probabilistic theory of pattern recognition / Luc Devroye, L◆U00E1◆szl◆U00F3◆ Gy◆U00F6◆rfi, G◆U00E1◆bor Lugosi.-- Springer; c1996.-- (Applications of mathematics ; 31).</v>
      </c>
      <c r="E1212" s="4" t="str">
        <f>""</f>
        <v/>
      </c>
      <c r="F1212" s="26"/>
      <c r="G1212" s="27" t="str">
        <f>"417.1/DE"</f>
        <v>417.1/DE</v>
      </c>
      <c r="H1212" s="4" t="str">
        <f>"1996/05/28"</f>
        <v>1996/05/28</v>
      </c>
      <c r="I1212" s="6">
        <v>9538</v>
      </c>
      <c r="J1212" s="6">
        <v>100</v>
      </c>
      <c r="K1212" s="4" t="str">
        <f>"2  洋書"</f>
        <v>2  洋書</v>
      </c>
      <c r="L1212" s="7"/>
    </row>
    <row r="1213" spans="1:12" ht="36" x14ac:dyDescent="0.15">
      <c r="A1213" s="36">
        <v>1212</v>
      </c>
      <c r="B1213" s="3" t="s">
        <v>55</v>
      </c>
      <c r="C1213" s="4" t="str">
        <f>"0001295573"</f>
        <v>0001295573</v>
      </c>
      <c r="D1213" s="5" t="str">
        <f>"Hidden Markov models : estimation and control / Robert J. Elliott, Lakhdar Aggoun, John B. Moore ; : us, : gw.-- Springer-Verlag; c1995.-- (Applications of mathematics ; 29)."</f>
        <v>Hidden Markov models : estimation and control / Robert J. Elliott, Lakhdar Aggoun, John B. Moore ; : us, : gw.-- Springer-Verlag; c1995.-- (Applications of mathematics ; 29).</v>
      </c>
      <c r="E1213" s="4" t="str">
        <f>": us"</f>
        <v>: us</v>
      </c>
      <c r="F1213" s="26"/>
      <c r="G1213" s="27" t="str">
        <f>"417.1/EL"</f>
        <v>417.1/EL</v>
      </c>
      <c r="H1213" s="4" t="str">
        <f>"1997/07/22"</f>
        <v>1997/07/22</v>
      </c>
      <c r="I1213" s="6">
        <v>9261</v>
      </c>
      <c r="J1213" s="6">
        <v>100</v>
      </c>
      <c r="K1213" s="4" t="str">
        <f>"2  洋書"</f>
        <v>2  洋書</v>
      </c>
      <c r="L1213" s="7"/>
    </row>
    <row r="1214" spans="1:12" ht="24" x14ac:dyDescent="0.15">
      <c r="A1214" s="36">
        <v>1213</v>
      </c>
      <c r="B1214" s="3" t="s">
        <v>55</v>
      </c>
      <c r="C1214" s="4" t="str">
        <f>"0000833547"</f>
        <v>0000833547</v>
      </c>
      <c r="D1214" s="5" t="str">
        <f>"囚人のジレンマ : フォン・ノイマンとゲームの理論 / ウィリアム・パウンドストーン著 ; 松浦俊輔他訳.-- 青土社; 1995.3."</f>
        <v>囚人のジレンマ : フォン・ノイマンとゲームの理論 / ウィリアム・パウンドストーン著 ; 松浦俊輔他訳.-- 青土社; 1995.3.</v>
      </c>
      <c r="E1214" s="4" t="str">
        <f>""</f>
        <v/>
      </c>
      <c r="F1214" s="26"/>
      <c r="G1214" s="27" t="str">
        <f>"417.2/ﾊﾟｳ"</f>
        <v>417.2/ﾊﾟｳ</v>
      </c>
      <c r="H1214" s="4" t="str">
        <f>"1995/05/08"</f>
        <v>1995/05/08</v>
      </c>
      <c r="I1214" s="6">
        <v>2340</v>
      </c>
      <c r="J1214" s="6">
        <v>100</v>
      </c>
      <c r="K1214" s="4" t="str">
        <f>"1  和書"</f>
        <v>1  和書</v>
      </c>
      <c r="L1214" s="7"/>
    </row>
    <row r="1215" spans="1:12" ht="36" x14ac:dyDescent="0.15">
      <c r="A1215" s="36">
        <v>1214</v>
      </c>
      <c r="B1215" s="3" t="s">
        <v>55</v>
      </c>
      <c r="C1215" s="4" t="str">
        <f>"0001290424"</f>
        <v>0001290424</v>
      </c>
      <c r="D1215" s="5" t="str">
        <f>"Cooperation : game-theoretic approaches / edited by Sergiu Hart, Andreu Mas-Colell.-- Springer; c1997.-- (NATO ASI series ; ser. F . Computer and systems sciences ; vol. 155)."</f>
        <v>Cooperation : game-theoretic approaches / edited by Sergiu Hart, Andreu Mas-Colell.-- Springer; c1997.-- (NATO ASI series ; ser. F . Computer and systems sciences ; vol. 155).</v>
      </c>
      <c r="E1215" s="4" t="str">
        <f>""</f>
        <v/>
      </c>
      <c r="F1215" s="26"/>
      <c r="G1215" s="27" t="str">
        <f>"417.2/HA"</f>
        <v>417.2/HA</v>
      </c>
      <c r="H1215" s="4" t="str">
        <f>"1997/05/09"</f>
        <v>1997/05/09</v>
      </c>
      <c r="I1215" s="6">
        <v>12379</v>
      </c>
      <c r="J1215" s="8">
        <v>500</v>
      </c>
      <c r="K1215" s="4" t="str">
        <f>"2  洋書"</f>
        <v>2  洋書</v>
      </c>
      <c r="L1215" s="7"/>
    </row>
    <row r="1216" spans="1:12" x14ac:dyDescent="0.15">
      <c r="A1216" s="36">
        <v>1215</v>
      </c>
      <c r="B1216" s="3" t="s">
        <v>55</v>
      </c>
      <c r="C1216" s="4" t="str">
        <f>"0002760414"</f>
        <v>0002760414</v>
      </c>
      <c r="D1216" s="5" t="str">
        <f>"時系列解析入門 / 北川源四郎著.-- 岩波書店; 2005.2."</f>
        <v>時系列解析入門 / 北川源四郎著.-- 岩波書店; 2005.2.</v>
      </c>
      <c r="E1216" s="4" t="str">
        <f>""</f>
        <v/>
      </c>
      <c r="F1216" s="26"/>
      <c r="G1216" s="27" t="str">
        <f>"417.6/ｷﾀ"</f>
        <v>417.6/ｷﾀ</v>
      </c>
      <c r="H1216" s="4" t="str">
        <f>"2005/03/01"</f>
        <v>2005/03/01</v>
      </c>
      <c r="I1216" s="6">
        <v>3496</v>
      </c>
      <c r="J1216" s="6">
        <v>100</v>
      </c>
      <c r="K1216" s="4" t="str">
        <f>"1  和書"</f>
        <v>1  和書</v>
      </c>
      <c r="L1216" s="7"/>
    </row>
    <row r="1217" spans="1:12" ht="24" x14ac:dyDescent="0.15">
      <c r="A1217" s="36">
        <v>1216</v>
      </c>
      <c r="B1217" s="3" t="s">
        <v>55</v>
      </c>
      <c r="C1217" s="4" t="str">
        <f>"0002766911"</f>
        <v>0002766911</v>
      </c>
      <c r="D1217" s="5" t="str">
        <f>"ベイジアンネットワーク概説 / 繁桝算男, 植野真臣, 本村陽一共著.-- 培風館; 2006.7."</f>
        <v>ベイジアンネットワーク概説 / 繁桝算男, 植野真臣, 本村陽一共著.-- 培風館; 2006.7.</v>
      </c>
      <c r="E1217" s="4" t="str">
        <f>""</f>
        <v/>
      </c>
      <c r="F1217" s="26"/>
      <c r="G1217" s="27" t="str">
        <f>"417.6/ｼｹﾞ"</f>
        <v>417.6/ｼｹﾞ</v>
      </c>
      <c r="H1217" s="4" t="str">
        <f>"2006/09/13"</f>
        <v>2006/09/13</v>
      </c>
      <c r="I1217" s="6">
        <v>2551</v>
      </c>
      <c r="J1217" s="6">
        <v>100</v>
      </c>
      <c r="K1217" s="4" t="str">
        <f>"1  和書"</f>
        <v>1  和書</v>
      </c>
      <c r="L1217" s="7"/>
    </row>
    <row r="1218" spans="1:12" ht="24" x14ac:dyDescent="0.15">
      <c r="A1218" s="36">
        <v>1217</v>
      </c>
      <c r="B1218" s="3" t="s">
        <v>55</v>
      </c>
      <c r="C1218" s="4" t="str">
        <f>"0001060805"</f>
        <v>0001060805</v>
      </c>
      <c r="D1218" s="5" t="str">
        <f>"推定と検定 / 鷲尾泰俊著.-- 共立出版; 1978.2.-- (数学ワンポイント双書 ; 18)."</f>
        <v>推定と検定 / 鷲尾泰俊著.-- 共立出版; 1978.2.-- (数学ワンポイント双書 ; 18).</v>
      </c>
      <c r="E1218" s="4" t="str">
        <f>""</f>
        <v/>
      </c>
      <c r="F1218" s="26"/>
      <c r="G1218" s="27" t="str">
        <f>"417.6/ﾜｼ"</f>
        <v>417.6/ﾜｼ</v>
      </c>
      <c r="H1218" s="4" t="str">
        <f>"1996/03/29"</f>
        <v>1996/03/29</v>
      </c>
      <c r="I1218" s="6">
        <v>936</v>
      </c>
      <c r="J1218" s="6">
        <v>100</v>
      </c>
      <c r="K1218" s="4" t="str">
        <f>"1  和書"</f>
        <v>1  和書</v>
      </c>
      <c r="L1218" s="7"/>
    </row>
    <row r="1219" spans="1:12" ht="24" x14ac:dyDescent="0.15">
      <c r="A1219" s="36">
        <v>1218</v>
      </c>
      <c r="B1219" s="3" t="s">
        <v>55</v>
      </c>
      <c r="C1219" s="4" t="str">
        <f>"0002765235"</f>
        <v>0002765235</v>
      </c>
      <c r="D1219" s="5" t="str">
        <f>"代数幾何と学習理論 / 渡辺澄夫著.-- 森北出版; 2006.4.-- (知能情報科学シリーズ : intellectual information science series)."</f>
        <v>代数幾何と学習理論 / 渡辺澄夫著.-- 森北出版; 2006.4.-- (知能情報科学シリーズ : intellectual information science series).</v>
      </c>
      <c r="E1219" s="4" t="str">
        <f>""</f>
        <v/>
      </c>
      <c r="F1219" s="26"/>
      <c r="G1219" s="27" t="str">
        <f>"417.6/ﾜﾀ"</f>
        <v>417.6/ﾜﾀ</v>
      </c>
      <c r="H1219" s="4" t="str">
        <f>"2006/05/08"</f>
        <v>2006/05/08</v>
      </c>
      <c r="I1219" s="6">
        <v>3591</v>
      </c>
      <c r="J1219" s="6">
        <v>100</v>
      </c>
      <c r="K1219" s="4" t="str">
        <f>"1  和書"</f>
        <v>1  和書</v>
      </c>
      <c r="L1219" s="7"/>
    </row>
    <row r="1220" spans="1:12" ht="36" x14ac:dyDescent="0.15">
      <c r="A1220" s="36">
        <v>1219</v>
      </c>
      <c r="B1220" s="3" t="s">
        <v>55</v>
      </c>
      <c r="C1220" s="4" t="str">
        <f>"0001271294"</f>
        <v>0001271294</v>
      </c>
      <c r="D1220" s="5" t="str">
        <f>"Monte Carlo : concepts, algorithms, and applications / George S. Fishman.-- Springer-Verlag; c1996.-- (Springer series in operations research)."</f>
        <v>Monte Carlo : concepts, algorithms, and applications / George S. Fishman.-- Springer-Verlag; c1996.-- (Springer series in operations research).</v>
      </c>
      <c r="E1220" s="4" t="str">
        <f>""</f>
        <v/>
      </c>
      <c r="F1220" s="26"/>
      <c r="G1220" s="27" t="str">
        <f>"417.6/FI"</f>
        <v>417.6/FI</v>
      </c>
      <c r="H1220" s="4" t="str">
        <f>"1996/06/21"</f>
        <v>1996/06/21</v>
      </c>
      <c r="I1220" s="6">
        <v>9265</v>
      </c>
      <c r="J1220" s="6">
        <v>100</v>
      </c>
      <c r="K1220" s="4" t="str">
        <f>"2  洋書"</f>
        <v>2  洋書</v>
      </c>
      <c r="L1220" s="7"/>
    </row>
    <row r="1221" spans="1:12" ht="24" x14ac:dyDescent="0.15">
      <c r="A1221" s="36">
        <v>1220</v>
      </c>
      <c r="B1221" s="3" t="s">
        <v>55</v>
      </c>
      <c r="C1221" s="4" t="str">
        <f>"0001262421"</f>
        <v>0001262421</v>
      </c>
      <c r="D1221" s="5" t="str">
        <f>"Randomized algorithms / Rajeev Motwani, Prabhakar Raghavan.-- Cambridge University Press; 1995."</f>
        <v>Randomized algorithms / Rajeev Motwani, Prabhakar Raghavan.-- Cambridge University Press; 1995.</v>
      </c>
      <c r="E1221" s="4" t="str">
        <f>""</f>
        <v/>
      </c>
      <c r="F1221" s="26"/>
      <c r="G1221" s="27" t="str">
        <f>"418/MO"</f>
        <v>418/MO</v>
      </c>
      <c r="H1221" s="4" t="str">
        <f>"1996/01/26"</f>
        <v>1996/01/26</v>
      </c>
      <c r="I1221" s="6">
        <v>6040</v>
      </c>
      <c r="J1221" s="6">
        <v>100</v>
      </c>
      <c r="K1221" s="4" t="str">
        <f>"2  洋書"</f>
        <v>2  洋書</v>
      </c>
      <c r="L1221" s="7"/>
    </row>
    <row r="1222" spans="1:12" ht="24" x14ac:dyDescent="0.15">
      <c r="A1222" s="36">
        <v>1221</v>
      </c>
      <c r="B1222" s="3" t="s">
        <v>56</v>
      </c>
      <c r="C1222" s="10" t="str">
        <f>"0000960915"</f>
        <v>0000960915</v>
      </c>
      <c r="D1222" s="11" t="str">
        <f>"低温 / 田沼静一責任編集.-- 共立出版; 1974.7.-- (実験物理学講座 / 近角聡信 [ほか] 企画編集 ; 15)."</f>
        <v>低温 / 田沼静一責任編集.-- 共立出版; 1974.7.-- (実験物理学講座 / 近角聡信 [ほか] 企画編集 ; 15).</v>
      </c>
      <c r="E1222" s="10" t="str">
        <f>""</f>
        <v/>
      </c>
      <c r="F1222" s="28" t="s">
        <v>8</v>
      </c>
      <c r="G1222" s="29" t="str">
        <f>"420.72/ｼﾞﾂ/15"</f>
        <v>420.72/ｼﾞﾂ/15</v>
      </c>
      <c r="H1222" s="10" t="str">
        <f>"1996/03/29"</f>
        <v>1996/03/29</v>
      </c>
      <c r="I1222" s="12">
        <v>8909</v>
      </c>
      <c r="J1222" s="12">
        <v>100</v>
      </c>
      <c r="K1222" s="10" t="str">
        <f t="shared" ref="K1222:K1250" si="65">"1  和書"</f>
        <v>1  和書</v>
      </c>
      <c r="L1222" s="13"/>
    </row>
    <row r="1223" spans="1:12" ht="24" x14ac:dyDescent="0.15">
      <c r="A1223" s="36">
        <v>1222</v>
      </c>
      <c r="B1223" s="3" t="s">
        <v>56</v>
      </c>
      <c r="C1223" s="10" t="str">
        <f>"0000163200"</f>
        <v>0000163200</v>
      </c>
      <c r="D1223" s="11" t="str">
        <f>"実験基礎技術 / 近藤正夫責任編集 ; 永野弘 [ほか] 執筆.-- 共立出版; 1990.9.-- (実験物理学講座 / 近角聡信 [ほか] 企画編集 ; 2)."</f>
        <v>実験基礎技術 / 近藤正夫責任編集 ; 永野弘 [ほか] 執筆.-- 共立出版; 1990.9.-- (実験物理学講座 / 近角聡信 [ほか] 企画編集 ; 2).</v>
      </c>
      <c r="E1223" s="10" t="str">
        <f>""</f>
        <v/>
      </c>
      <c r="F1223" s="28" t="s">
        <v>8</v>
      </c>
      <c r="G1223" s="29" t="str">
        <f>"420.72/ｼﾞﾂ/2"</f>
        <v>420.72/ｼﾞﾂ/2</v>
      </c>
      <c r="H1223" s="10" t="str">
        <f>"1994/03/31"</f>
        <v>1994/03/31</v>
      </c>
      <c r="I1223" s="12">
        <v>12468</v>
      </c>
      <c r="J1223" s="14">
        <v>500</v>
      </c>
      <c r="K1223" s="10" t="str">
        <f t="shared" si="65"/>
        <v>1  和書</v>
      </c>
      <c r="L1223" s="13"/>
    </row>
    <row r="1224" spans="1:12" ht="24" x14ac:dyDescent="0.15">
      <c r="A1224" s="36">
        <v>1223</v>
      </c>
      <c r="B1224" s="3" t="s">
        <v>56</v>
      </c>
      <c r="C1224" s="10" t="str">
        <f>"0001792096"</f>
        <v>0001792096</v>
      </c>
      <c r="D1224" s="11" t="str">
        <f>"原子炉 / 伏見康治責任編集.-- 共立出版; 1972.3.-- (実験物理学講座 / 近角聡信 [ほか] 企画編集 ; 29)."</f>
        <v>原子炉 / 伏見康治責任編集.-- 共立出版; 1972.3.-- (実験物理学講座 / 近角聡信 [ほか] 企画編集 ; 29).</v>
      </c>
      <c r="E1224" s="10" t="str">
        <f>""</f>
        <v/>
      </c>
      <c r="F1224" s="28" t="s">
        <v>8</v>
      </c>
      <c r="G1224" s="29" t="str">
        <f>"420.72/ｼﾞﾂ/29"</f>
        <v>420.72/ｼﾞﾂ/29</v>
      </c>
      <c r="H1224" s="10" t="str">
        <f>"1998/03/31"</f>
        <v>1998/03/31</v>
      </c>
      <c r="I1224" s="12">
        <v>5601</v>
      </c>
      <c r="J1224" s="12">
        <v>100</v>
      </c>
      <c r="K1224" s="10" t="str">
        <f t="shared" si="65"/>
        <v>1  和書</v>
      </c>
      <c r="L1224" s="13"/>
    </row>
    <row r="1225" spans="1:12" ht="24" x14ac:dyDescent="0.15">
      <c r="A1225" s="36">
        <v>1224</v>
      </c>
      <c r="B1225" s="3" t="s">
        <v>56</v>
      </c>
      <c r="C1225" s="4" t="str">
        <f>"0002758633"</f>
        <v>0002758633</v>
      </c>
      <c r="D1225" s="5" t="str">
        <f>"ベイズ統計と統計物理 / 伊庭幸人著.-- 岩波書店; 2003.8.-- (岩波講座物理の世界 / 佐藤文隆 [ほか] 編 ; . 物理と情報||ブツリ ト ジョウホウ ; 3)."</f>
        <v>ベイズ統計と統計物理 / 伊庭幸人著.-- 岩波書店; 2003.8.-- (岩波講座物理の世界 / 佐藤文隆 [ほか] 編 ; . 物理と情報||ブツリ ト ジョウホウ ; 3).</v>
      </c>
      <c r="E1225" s="4" t="str">
        <f>""</f>
        <v/>
      </c>
      <c r="F1225" s="26"/>
      <c r="G1225" s="27" t="str">
        <f>"420.8/ｲﾜ/13-3"</f>
        <v>420.8/ｲﾜ/13-3</v>
      </c>
      <c r="H1225" s="4" t="str">
        <f>"2004/12/06"</f>
        <v>2004/12/06</v>
      </c>
      <c r="I1225" s="6">
        <v>1323</v>
      </c>
      <c r="J1225" s="6">
        <v>100</v>
      </c>
      <c r="K1225" s="4" t="str">
        <f t="shared" si="65"/>
        <v>1  和書</v>
      </c>
      <c r="L1225" s="7"/>
    </row>
    <row r="1226" spans="1:12" ht="48" x14ac:dyDescent="0.15">
      <c r="A1226" s="36">
        <v>1225</v>
      </c>
      <c r="B1226" s="3" t="s">
        <v>56</v>
      </c>
      <c r="C1226" s="10" t="str">
        <f>"0001171129"</f>
        <v>0001171129</v>
      </c>
      <c r="D1226" s="11" t="str">
        <f>"Bifurcation theory and catastrophe theory / V.I. Arnol'd (ed.) ; : us, : gw.-- Springer-Verlag; c1994.-- (Encyclopaedia of mathematical sciences / editor-in-chief, R.V. Gamkrelidze ; v. 5 . Dynamical systems ; 5)."</f>
        <v>Bifurcation theory and catastrophe theory / V.I. Arnol'd (ed.) ; : us, : gw.-- Springer-Verlag; c1994.-- (Encyclopaedia of mathematical sciences / editor-in-chief, R.V. Gamkrelidze ; v. 5 . Dynamical systems ; 5).</v>
      </c>
      <c r="E1226" s="10" t="str">
        <f>": gw"</f>
        <v>: gw</v>
      </c>
      <c r="F1226" s="28" t="s">
        <v>8</v>
      </c>
      <c r="G1226" s="29" t="str">
        <f>"421/DY/5"</f>
        <v>421/DY/5</v>
      </c>
      <c r="H1226" s="10" t="str">
        <f>"1996/03/29"</f>
        <v>1996/03/29</v>
      </c>
      <c r="I1226" s="12">
        <v>13275</v>
      </c>
      <c r="J1226" s="14">
        <v>500</v>
      </c>
      <c r="K1226" s="10" t="str">
        <f>"2  洋書"</f>
        <v>2  洋書</v>
      </c>
      <c r="L1226" s="13"/>
    </row>
    <row r="1227" spans="1:12" ht="36" x14ac:dyDescent="0.15">
      <c r="A1227" s="36">
        <v>1226</v>
      </c>
      <c r="B1227" s="3" t="s">
        <v>56</v>
      </c>
      <c r="C1227" s="10" t="str">
        <f>"0001171136"</f>
        <v>0001171136</v>
      </c>
      <c r="D1227" s="11" t="str">
        <f>"Singularity theory / V.I. Arnol'd (ed.) ; 1 : us, 1 : gw.-- Springer-Verlag; c1993.-- (Encyclopaedia of mathematical sciences / editor-in-chief, R.V. Gamkrelidze ; v. 6 . Dynamical systems ; 6)."</f>
        <v>Singularity theory / V.I. Arnol'd (ed.) ; 1 : us, 1 : gw.-- Springer-Verlag; c1993.-- (Encyclopaedia of mathematical sciences / editor-in-chief, R.V. Gamkrelidze ; v. 6 . Dynamical systems ; 6).</v>
      </c>
      <c r="E1227" s="10" t="str">
        <f>"1 : gw"</f>
        <v>1 : gw</v>
      </c>
      <c r="F1227" s="28" t="s">
        <v>8</v>
      </c>
      <c r="G1227" s="29" t="str">
        <f>"421/DY/6"</f>
        <v>421/DY/6</v>
      </c>
      <c r="H1227" s="10" t="str">
        <f>"1996/03/29"</f>
        <v>1996/03/29</v>
      </c>
      <c r="I1227" s="12">
        <v>13275</v>
      </c>
      <c r="J1227" s="14">
        <v>500</v>
      </c>
      <c r="K1227" s="10" t="str">
        <f>"2  洋書"</f>
        <v>2  洋書</v>
      </c>
      <c r="L1227" s="13"/>
    </row>
    <row r="1228" spans="1:12" ht="48" x14ac:dyDescent="0.15">
      <c r="A1228" s="36">
        <v>1227</v>
      </c>
      <c r="B1228" s="3" t="s">
        <v>56</v>
      </c>
      <c r="C1228" s="10" t="str">
        <f>"0001173758"</f>
        <v>0001173758</v>
      </c>
      <c r="D1228" s="11" t="str">
        <f>"Integrable systems, nonholonomic dynamical systems / V.I. Arnol◆U02B9◆d, S.P. Novikov (eds.) ; : us, : gw.-- Springer-Verlag; c1994.-- (Encyclopaedia of mathematical sciences / editor-in-chief, R.V. Gamkrelidze ; v. 16 . Dynamical systems ; 7)."</f>
        <v>Integrable systems, nonholonomic dynamical systems / V.I. Arnol◆U02B9◆d, S.P. Novikov (eds.) ; : us, : gw.-- Springer-Verlag; c1994.-- (Encyclopaedia of mathematical sciences / editor-in-chief, R.V. Gamkrelidze ; v. 16 . Dynamical systems ; 7).</v>
      </c>
      <c r="E1228" s="10" t="str">
        <f>": gw"</f>
        <v>: gw</v>
      </c>
      <c r="F1228" s="28" t="s">
        <v>8</v>
      </c>
      <c r="G1228" s="29" t="str">
        <f>"421/DY/7"</f>
        <v>421/DY/7</v>
      </c>
      <c r="H1228" s="10" t="str">
        <f>"1996/03/29"</f>
        <v>1996/03/29</v>
      </c>
      <c r="I1228" s="12">
        <v>9009</v>
      </c>
      <c r="J1228" s="12">
        <v>100</v>
      </c>
      <c r="K1228" s="10" t="str">
        <f>"2  洋書"</f>
        <v>2  洋書</v>
      </c>
      <c r="L1228" s="13"/>
    </row>
    <row r="1229" spans="1:12" ht="24" x14ac:dyDescent="0.15">
      <c r="A1229" s="36">
        <v>1228</v>
      </c>
      <c r="B1229" s="3" t="s">
        <v>56</v>
      </c>
      <c r="C1229" s="4" t="str">
        <f>"0000875134"</f>
        <v>0000875134</v>
      </c>
      <c r="D1229" s="5" t="str">
        <f>"時間の矢、生命の矢 / ピーター・コヴニー, ロジャー・ハイフィールド著 ; 野本陽代訳.-- 草思社; 1995.4."</f>
        <v>時間の矢、生命の矢 / ピーター・コヴニー, ロジャー・ハイフィールド著 ; 野本陽代訳.-- 草思社; 1995.4.</v>
      </c>
      <c r="E1229" s="4" t="str">
        <f>""</f>
        <v/>
      </c>
      <c r="F1229" s="26"/>
      <c r="G1229" s="27" t="str">
        <f>"421.2/ｺｳﾞ"</f>
        <v>421.2/ｺｳﾞ</v>
      </c>
      <c r="H1229" s="4" t="str">
        <f>"1995/10/11"</f>
        <v>1995/10/11</v>
      </c>
      <c r="I1229" s="6">
        <v>2596</v>
      </c>
      <c r="J1229" s="6">
        <v>100</v>
      </c>
      <c r="K1229" s="4" t="str">
        <f t="shared" si="65"/>
        <v>1  和書</v>
      </c>
      <c r="L1229" s="7"/>
    </row>
    <row r="1230" spans="1:12" x14ac:dyDescent="0.15">
      <c r="A1230" s="36">
        <v>1229</v>
      </c>
      <c r="B1230" s="3" t="s">
        <v>56</v>
      </c>
      <c r="C1230" s="4" t="str">
        <f>"0002298283"</f>
        <v>0002298283</v>
      </c>
      <c r="D1230" s="5" t="str">
        <f>"量子力学・統計力学入門 / 星野公三, 岩松雅夫共著.-- 裳華房; 1997.12."</f>
        <v>量子力学・統計力学入門 / 星野公三, 岩松雅夫共著.-- 裳華房; 1997.12.</v>
      </c>
      <c r="E1230" s="4" t="str">
        <f>""</f>
        <v/>
      </c>
      <c r="F1230" s="26"/>
      <c r="G1230" s="27" t="str">
        <f>"421.3/ﾎｼ"</f>
        <v>421.3/ﾎｼ</v>
      </c>
      <c r="H1230" s="4" t="str">
        <f>"2003/10/15"</f>
        <v>2003/10/15</v>
      </c>
      <c r="I1230" s="6">
        <v>1701</v>
      </c>
      <c r="J1230" s="6">
        <v>100</v>
      </c>
      <c r="K1230" s="4" t="str">
        <f t="shared" si="65"/>
        <v>1  和書</v>
      </c>
      <c r="L1230" s="7"/>
    </row>
    <row r="1231" spans="1:12" ht="24" x14ac:dyDescent="0.15">
      <c r="A1231" s="36">
        <v>1230</v>
      </c>
      <c r="B1231" s="3" t="s">
        <v>56</v>
      </c>
      <c r="C1231" s="4" t="str">
        <f>"0002768021"</f>
        <v>0002768021</v>
      </c>
      <c r="D1231" s="5" t="str">
        <f>"数学で読み解く統計力学 : 平衡状態とエルゴード仮説 / 森真著.-- 共立出版; 2006.11."</f>
        <v>数学で読み解く統計力学 : 平衡状態とエルゴード仮説 / 森真著.-- 共立出版; 2006.11.</v>
      </c>
      <c r="E1231" s="4" t="str">
        <f>""</f>
        <v/>
      </c>
      <c r="F1231" s="26"/>
      <c r="G1231" s="27" t="str">
        <f>"421.4/ﾓﾘ"</f>
        <v>421.4/ﾓﾘ</v>
      </c>
      <c r="H1231" s="4" t="str">
        <f>"2006/12/21"</f>
        <v>2006/12/21</v>
      </c>
      <c r="I1231" s="6">
        <v>2551</v>
      </c>
      <c r="J1231" s="6">
        <v>100</v>
      </c>
      <c r="K1231" s="4" t="str">
        <f t="shared" si="65"/>
        <v>1  和書</v>
      </c>
      <c r="L1231" s="7"/>
    </row>
    <row r="1232" spans="1:12" x14ac:dyDescent="0.15">
      <c r="A1232" s="36">
        <v>1231</v>
      </c>
      <c r="B1232" s="3" t="s">
        <v>57</v>
      </c>
      <c r="C1232" s="10" t="str">
        <f>"0000494106"</f>
        <v>0000494106</v>
      </c>
      <c r="D1232" s="11" t="str">
        <f>"化学大辞典 / 大木道則 [ほか] 編集.-- 東京化学同人; 1989.10."</f>
        <v>化学大辞典 / 大木道則 [ほか] 編集.-- 東京化学同人; 1989.10.</v>
      </c>
      <c r="E1232" s="10" t="str">
        <f>""</f>
        <v/>
      </c>
      <c r="F1232" s="28" t="s">
        <v>8</v>
      </c>
      <c r="G1232" s="29" t="str">
        <f>"R430.33/ｵｵ"</f>
        <v>R430.33/ｵｵ</v>
      </c>
      <c r="H1232" s="10" t="str">
        <f>"1994/10/19"</f>
        <v>1994/10/19</v>
      </c>
      <c r="I1232" s="12">
        <v>38700</v>
      </c>
      <c r="J1232" s="14">
        <v>1000</v>
      </c>
      <c r="K1232" s="10" t="str">
        <f t="shared" si="65"/>
        <v>1  和書</v>
      </c>
      <c r="L1232" s="13"/>
    </row>
    <row r="1233" spans="1:12" ht="24" x14ac:dyDescent="0.15">
      <c r="A1233" s="36">
        <v>1232</v>
      </c>
      <c r="B1233" s="3" t="s">
        <v>58</v>
      </c>
      <c r="C1233" s="4" t="str">
        <f>"0000865708"</f>
        <v>0000865708</v>
      </c>
      <c r="D1233" s="5" t="str">
        <f>"ニュートンの時計 : 太陽系のなかのカオス / アイバース・ピーターソン著 ; 野本陽代訳.-- 日経サイエンス社."</f>
        <v>ニュートンの時計 : 太陽系のなかのカオス / アイバース・ピーターソン著 ; 野本陽代訳.-- 日経サイエンス社.</v>
      </c>
      <c r="E1233" s="4" t="str">
        <f>""</f>
        <v/>
      </c>
      <c r="F1233" s="26"/>
      <c r="G1233" s="27" t="str">
        <f>"444/ﾋﾟﾀ"</f>
        <v>444/ﾋﾟﾀ</v>
      </c>
      <c r="H1233" s="4" t="str">
        <f>"1995/08/07"</f>
        <v>1995/08/07</v>
      </c>
      <c r="I1233" s="6">
        <v>2970</v>
      </c>
      <c r="J1233" s="6">
        <v>100</v>
      </c>
      <c r="K1233" s="4" t="str">
        <f t="shared" si="65"/>
        <v>1  和書</v>
      </c>
      <c r="L1233" s="7"/>
    </row>
    <row r="1234" spans="1:12" ht="24" x14ac:dyDescent="0.15">
      <c r="A1234" s="36">
        <v>1233</v>
      </c>
      <c r="B1234" s="3" t="s">
        <v>58</v>
      </c>
      <c r="C1234" s="4" t="str">
        <f>"0001278484"</f>
        <v>0001278484</v>
      </c>
      <c r="D1234" s="5" t="str">
        <f>"人はなぜ道に迷うか / 山口裕一著.-- 筑摩書房; 1995.7.-- (ちくまプリマーブックス ; 90)."</f>
        <v>人はなぜ道に迷うか / 山口裕一著.-- 筑摩書房; 1995.7.-- (ちくまプリマーブックス ; 90).</v>
      </c>
      <c r="E1234" s="4" t="str">
        <f>""</f>
        <v/>
      </c>
      <c r="F1234" s="26"/>
      <c r="G1234" s="27" t="str">
        <f>"448.9/ﾔﾏ"</f>
        <v>448.9/ﾔﾏ</v>
      </c>
      <c r="H1234" s="4" t="str">
        <f>"1996/10/25"</f>
        <v>1996/10/25</v>
      </c>
      <c r="I1234" s="6">
        <v>990</v>
      </c>
      <c r="J1234" s="6">
        <v>100</v>
      </c>
      <c r="K1234" s="4" t="str">
        <f t="shared" si="65"/>
        <v>1  和書</v>
      </c>
      <c r="L1234" s="7"/>
    </row>
    <row r="1235" spans="1:12" ht="22.5" x14ac:dyDescent="0.15">
      <c r="A1235" s="36">
        <v>1234</v>
      </c>
      <c r="B1235" s="3" t="s">
        <v>59</v>
      </c>
      <c r="C1235" s="10" t="str">
        <f>"0000463775"</f>
        <v>0000463775</v>
      </c>
      <c r="D1235" s="11" t="str">
        <f>"人間の生物学 / 菊池俊英著.-- 改訂版.-- 理工学社; 1982.4."</f>
        <v>人間の生物学 / 菊池俊英著.-- 改訂版.-- 理工学社; 1982.4.</v>
      </c>
      <c r="E1235" s="10" t="str">
        <f>""</f>
        <v/>
      </c>
      <c r="F1235" s="28" t="s">
        <v>8</v>
      </c>
      <c r="G1235" s="29" t="str">
        <f>"460.1ｷｸ"</f>
        <v>460.1ｷｸ</v>
      </c>
      <c r="H1235" s="10" t="str">
        <f>"1994/06/06"</f>
        <v>1994/06/06</v>
      </c>
      <c r="I1235" s="12">
        <v>1946</v>
      </c>
      <c r="J1235" s="12">
        <v>100</v>
      </c>
      <c r="K1235" s="10" t="str">
        <f t="shared" si="65"/>
        <v>1  和書</v>
      </c>
      <c r="L1235" s="13"/>
    </row>
    <row r="1236" spans="1:12" ht="24" x14ac:dyDescent="0.15">
      <c r="A1236" s="36">
        <v>1235</v>
      </c>
      <c r="B1236" s="3" t="s">
        <v>59</v>
      </c>
      <c r="C1236" s="4" t="str">
        <f>"0001278583"</f>
        <v>0001278583</v>
      </c>
      <c r="D1236" s="5" t="str">
        <f>"フランケンシュタインの末裔たち : 人工生命のワンダー・ワールド / 佐倉統著.-- 日本経済新聞社; 1995.10."</f>
        <v>フランケンシュタインの末裔たち : 人工生命のワンダー・ワールド / 佐倉統著.-- 日本経済新聞社; 1995.10.</v>
      </c>
      <c r="E1236" s="4" t="str">
        <f>""</f>
        <v/>
      </c>
      <c r="F1236" s="26"/>
      <c r="G1236" s="27" t="str">
        <f>"460.4/ｻｸ"</f>
        <v>460.4/ｻｸ</v>
      </c>
      <c r="H1236" s="4" t="str">
        <f>"1996/11/01"</f>
        <v>1996/11/01</v>
      </c>
      <c r="I1236" s="6">
        <v>1350</v>
      </c>
      <c r="J1236" s="6">
        <v>100</v>
      </c>
      <c r="K1236" s="4" t="str">
        <f t="shared" si="65"/>
        <v>1  和書</v>
      </c>
      <c r="L1236" s="7"/>
    </row>
    <row r="1237" spans="1:12" ht="24" x14ac:dyDescent="0.15">
      <c r="A1237" s="36">
        <v>1236</v>
      </c>
      <c r="B1237" s="3" t="s">
        <v>59</v>
      </c>
      <c r="C1237" s="4" t="str">
        <f>"0001290769"</f>
        <v>0001290769</v>
      </c>
      <c r="D1237" s="5" t="str">
        <f>"人工生命 : デジタル生物の創造者たち / スティーブン・レビー著 ; 服部桂訳.-- 朝日新聞社; 1996.4."</f>
        <v>人工生命 : デジタル生物の創造者たち / スティーブン・レビー著 ; 服部桂訳.-- 朝日新聞社; 1996.4.</v>
      </c>
      <c r="E1237" s="4" t="str">
        <f>""</f>
        <v/>
      </c>
      <c r="F1237" s="26"/>
      <c r="G1237" s="27" t="str">
        <f>"460.4/ﾚﾋﾞ"</f>
        <v>460.4/ﾚﾋﾞ</v>
      </c>
      <c r="H1237" s="4" t="str">
        <f>"1997/05/17"</f>
        <v>1997/05/17</v>
      </c>
      <c r="I1237" s="6">
        <v>2753</v>
      </c>
      <c r="J1237" s="6">
        <v>100</v>
      </c>
      <c r="K1237" s="4" t="str">
        <f t="shared" si="65"/>
        <v>1  和書</v>
      </c>
      <c r="L1237" s="7"/>
    </row>
    <row r="1238" spans="1:12" ht="22.5" x14ac:dyDescent="0.15">
      <c r="A1238" s="36">
        <v>1237</v>
      </c>
      <c r="B1238" s="3" t="s">
        <v>59</v>
      </c>
      <c r="C1238" s="10" t="str">
        <f>"0000717762"</f>
        <v>0000717762</v>
      </c>
      <c r="D1238" s="11" t="str">
        <f>"生命の起源・進化.-- 中山書店; 1966.6.-- (現代生物学大系 ; 第14巻)."</f>
        <v>生命の起源・進化.-- 中山書店; 1966.6.-- (現代生物学大系 ; 第14巻).</v>
      </c>
      <c r="E1238" s="10" t="str">
        <f>""</f>
        <v/>
      </c>
      <c r="F1238" s="28" t="s">
        <v>8</v>
      </c>
      <c r="G1238" s="29" t="str">
        <f>"460.8/ｹﾞﾝ/14"</f>
        <v>460.8/ｹﾞﾝ/14</v>
      </c>
      <c r="H1238" s="10" t="str">
        <f>"1995/03/31"</f>
        <v>1995/03/31</v>
      </c>
      <c r="I1238" s="12">
        <v>11927</v>
      </c>
      <c r="J1238" s="14">
        <v>500</v>
      </c>
      <c r="K1238" s="10" t="str">
        <f t="shared" si="65"/>
        <v>1  和書</v>
      </c>
      <c r="L1238" s="13"/>
    </row>
    <row r="1239" spans="1:12" ht="24" x14ac:dyDescent="0.15">
      <c r="A1239" s="36">
        <v>1238</v>
      </c>
      <c r="B1239" s="3" t="s">
        <v>59</v>
      </c>
      <c r="C1239" s="4" t="str">
        <f>"0000502528"</f>
        <v>0000502528</v>
      </c>
      <c r="D1239" s="5" t="str">
        <f>"生命と場所 : 意味を創出する関係科学 / 清水博[著].-- NTT出版; 1992.4.-- (Books in-form)."</f>
        <v>生命と場所 : 意味を創出する関係科学 / 清水博[著].-- NTT出版; 1992.4.-- (Books in-form).</v>
      </c>
      <c r="E1239" s="4" t="str">
        <f>""</f>
        <v/>
      </c>
      <c r="F1239" s="26"/>
      <c r="G1239" s="27" t="str">
        <f>"461/ｼﾐ"</f>
        <v>461/ｼﾐ</v>
      </c>
      <c r="H1239" s="4" t="str">
        <f>"1994/11/24"</f>
        <v>1994/11/24</v>
      </c>
      <c r="I1239" s="6">
        <v>2610</v>
      </c>
      <c r="J1239" s="6">
        <v>100</v>
      </c>
      <c r="K1239" s="4" t="str">
        <f t="shared" si="65"/>
        <v>1  和書</v>
      </c>
      <c r="L1239" s="7"/>
    </row>
    <row r="1240" spans="1:12" ht="36" x14ac:dyDescent="0.15">
      <c r="A1240" s="36">
        <v>1239</v>
      </c>
      <c r="B1240" s="3" t="s">
        <v>59</v>
      </c>
      <c r="C1240" s="4" t="str">
        <f>"0000875165"</f>
        <v>0000875165</v>
      </c>
      <c r="D1240" s="5" t="str">
        <f>"視覚の生物計算理論 / ホイットマン・リチャーズ編 ; 田中博訳.-- パーソナルメディア; 1994.7.-- (ナチュラルコンピュテーション / ホイットマン・リチャーズ編 ; 1)."</f>
        <v>視覚の生物計算理論 / ホイットマン・リチャーズ編 ; 田中博訳.-- パーソナルメディア; 1994.7.-- (ナチュラルコンピュテーション / ホイットマン・リチャーズ編 ; 1).</v>
      </c>
      <c r="E1240" s="4" t="str">
        <f>""</f>
        <v/>
      </c>
      <c r="F1240" s="26"/>
      <c r="G1240" s="27" t="str">
        <f>"461.9/ﾘﾁ"</f>
        <v>461.9/ﾘﾁ</v>
      </c>
      <c r="H1240" s="4" t="str">
        <f>"1995/10/11"</f>
        <v>1995/10/11</v>
      </c>
      <c r="I1240" s="6">
        <v>4449</v>
      </c>
      <c r="J1240" s="6">
        <v>100</v>
      </c>
      <c r="K1240" s="4" t="str">
        <f t="shared" si="65"/>
        <v>1  和書</v>
      </c>
      <c r="L1240" s="7"/>
    </row>
    <row r="1241" spans="1:12" ht="36" x14ac:dyDescent="0.15">
      <c r="A1241" s="36">
        <v>1240</v>
      </c>
      <c r="B1241" s="3" t="s">
        <v>59</v>
      </c>
      <c r="C1241" s="4" t="str">
        <f>"0001778601"</f>
        <v>0001778601</v>
      </c>
      <c r="D1241" s="5" t="str">
        <f>"Modeling dynamic biological systems / Bruce Hannon, Matthias Ruth ; with a foreword by Simon A. Levin.-- Springer; c1997.-- (Modeling dynamic systems / editors, Matthias Ruth, Bruce Hannon)."</f>
        <v>Modeling dynamic biological systems / Bruce Hannon, Matthias Ruth ; with a foreword by Simon A. Levin.-- Springer; c1997.-- (Modeling dynamic systems / editors, Matthias Ruth, Bruce Hannon).</v>
      </c>
      <c r="E1241" s="4" t="str">
        <f>""</f>
        <v/>
      </c>
      <c r="F1241" s="26"/>
      <c r="G1241" s="27" t="str">
        <f>"461.9/HA"</f>
        <v>461.9/HA</v>
      </c>
      <c r="H1241" s="4" t="str">
        <f>"1998/03/31"</f>
        <v>1998/03/31</v>
      </c>
      <c r="I1241" s="6">
        <v>7685</v>
      </c>
      <c r="J1241" s="6">
        <v>100</v>
      </c>
      <c r="K1241" s="4" t="str">
        <f>"2  洋書"</f>
        <v>2  洋書</v>
      </c>
      <c r="L1241" s="7"/>
    </row>
    <row r="1242" spans="1:12" ht="36" x14ac:dyDescent="0.15">
      <c r="A1242" s="36">
        <v>1241</v>
      </c>
      <c r="B1242" s="3" t="s">
        <v>59</v>
      </c>
      <c r="C1242" s="4" t="str">
        <f>"0002536491"</f>
        <v>0002536491</v>
      </c>
      <c r="D1242" s="5" t="str">
        <f>"Differential equations and mathematical biology / D.S. Jones, B.D. Sleeman.-- Chapman &amp; Hall/CRC; c2003.-- (Chapman &amp; Hall/CRC mathematical biology &amp; medicine series)."</f>
        <v>Differential equations and mathematical biology / D.S. Jones, B.D. Sleeman.-- Chapman &amp; Hall/CRC; c2003.-- (Chapman &amp; Hall/CRC mathematical biology &amp; medicine series).</v>
      </c>
      <c r="E1242" s="4" t="str">
        <f>""</f>
        <v/>
      </c>
      <c r="F1242" s="26"/>
      <c r="G1242" s="27" t="str">
        <f>"461.9/JO"</f>
        <v>461.9/JO</v>
      </c>
      <c r="H1242" s="4" t="str">
        <f>"2003/03/17"</f>
        <v>2003/03/17</v>
      </c>
      <c r="I1242" s="6">
        <v>12400</v>
      </c>
      <c r="J1242" s="8">
        <v>500</v>
      </c>
      <c r="K1242" s="4" t="str">
        <f>"2  洋書"</f>
        <v>2  洋書</v>
      </c>
      <c r="L1242" s="7"/>
    </row>
    <row r="1243" spans="1:12" ht="24" x14ac:dyDescent="0.15">
      <c r="A1243" s="36">
        <v>1242</v>
      </c>
      <c r="B1243" s="3" t="s">
        <v>59</v>
      </c>
      <c r="C1243" s="4" t="str">
        <f>"0000882835"</f>
        <v>0000882835</v>
      </c>
      <c r="D1243" s="5" t="str">
        <f>"Artificial life : an overview / edited by Christopher G. Langton.-- MIT Press; c1995.-- (Complex adaptive systems)."</f>
        <v>Artificial life : an overview / edited by Christopher G. Langton.-- MIT Press; c1995.-- (Complex adaptive systems).</v>
      </c>
      <c r="E1243" s="4" t="str">
        <f>""</f>
        <v/>
      </c>
      <c r="F1243" s="26"/>
      <c r="G1243" s="27" t="str">
        <f>"461.9/LA"</f>
        <v>461.9/LA</v>
      </c>
      <c r="H1243" s="4" t="str">
        <f>"1995/11/17"</f>
        <v>1995/11/17</v>
      </c>
      <c r="I1243" s="6">
        <v>6913</v>
      </c>
      <c r="J1243" s="6">
        <v>100</v>
      </c>
      <c r="K1243" s="4" t="str">
        <f>"2  洋書"</f>
        <v>2  洋書</v>
      </c>
      <c r="L1243" s="7"/>
    </row>
    <row r="1244" spans="1:12" ht="36" x14ac:dyDescent="0.15">
      <c r="A1244" s="36">
        <v>1243</v>
      </c>
      <c r="B1244" s="3" t="s">
        <v>59</v>
      </c>
      <c r="C1244" s="4" t="str">
        <f>"0001292541"</f>
        <v>0001292541</v>
      </c>
      <c r="D1244" s="5" t="str">
        <f>"Artificial life : an overview / edited by Christopher G. Langton.-- Paperback ed.-- MIT Press; 1997, c1995.-- (Complex adaptive systems)."</f>
        <v>Artificial life : an overview / edited by Christopher G. Langton.-- Paperback ed.-- MIT Press; 1997, c1995.-- (Complex adaptive systems).</v>
      </c>
      <c r="E1244" s="4" t="str">
        <f>""</f>
        <v/>
      </c>
      <c r="F1244" s="26"/>
      <c r="G1244" s="27" t="str">
        <f>"461.9/LA"</f>
        <v>461.9/LA</v>
      </c>
      <c r="H1244" s="4" t="str">
        <f>"1997/06/04"</f>
        <v>1997/06/04</v>
      </c>
      <c r="I1244" s="6">
        <v>4847</v>
      </c>
      <c r="J1244" s="6">
        <v>100</v>
      </c>
      <c r="K1244" s="4" t="str">
        <f>"2  洋書"</f>
        <v>2  洋書</v>
      </c>
      <c r="L1244" s="7"/>
    </row>
    <row r="1245" spans="1:12" ht="22.5" x14ac:dyDescent="0.15">
      <c r="A1245" s="36">
        <v>1244</v>
      </c>
      <c r="B1245" s="3" t="s">
        <v>59</v>
      </c>
      <c r="C1245" s="4" t="str">
        <f>"0001298673"</f>
        <v>0001298673</v>
      </c>
      <c r="D1245" s="5" t="str">
        <f>"生物反応工学の基礎 / 川瀬義矩著.-- 化学工業社; 1993.10."</f>
        <v>生物反応工学の基礎 / 川瀬義矩著.-- 化学工業社; 1993.10.</v>
      </c>
      <c r="E1245" s="4" t="str">
        <f>""</f>
        <v/>
      </c>
      <c r="F1245" s="26"/>
      <c r="G1245" s="27" t="str">
        <f>"464/ｶﾜ"</f>
        <v>464/ｶﾜ</v>
      </c>
      <c r="H1245" s="4" t="str">
        <f>"1997/10/15"</f>
        <v>1997/10/15</v>
      </c>
      <c r="I1245" s="6">
        <v>3780</v>
      </c>
      <c r="J1245" s="6">
        <v>100</v>
      </c>
      <c r="K1245" s="4" t="str">
        <f t="shared" si="65"/>
        <v>1  和書</v>
      </c>
      <c r="L1245" s="7"/>
    </row>
    <row r="1246" spans="1:12" ht="24" x14ac:dyDescent="0.15">
      <c r="A1246" s="36">
        <v>1245</v>
      </c>
      <c r="B1246" s="3" t="s">
        <v>59</v>
      </c>
      <c r="C1246" s="10" t="str">
        <f>"0001569193"</f>
        <v>0001569193</v>
      </c>
      <c r="D1246" s="11" t="str">
        <f>"ホルモンのしくみ / 大石正道著.-- 日本実業出版社; 1998.2.-- (入門ビジュアルサイエンス)."</f>
        <v>ホルモンのしくみ / 大石正道著.-- 日本実業出版社; 1998.2.-- (入門ビジュアルサイエンス).</v>
      </c>
      <c r="E1246" s="10" t="str">
        <f>""</f>
        <v/>
      </c>
      <c r="F1246" s="28" t="s">
        <v>8</v>
      </c>
      <c r="G1246" s="29" t="str">
        <f>"464.55/ｵｵ"</f>
        <v>464.55/ｵｵ</v>
      </c>
      <c r="H1246" s="10" t="str">
        <f>"1998/03/31"</f>
        <v>1998/03/31</v>
      </c>
      <c r="I1246" s="12">
        <v>2510</v>
      </c>
      <c r="J1246" s="12">
        <v>100</v>
      </c>
      <c r="K1246" s="10" t="str">
        <f t="shared" si="65"/>
        <v>1  和書</v>
      </c>
      <c r="L1246" s="13"/>
    </row>
    <row r="1247" spans="1:12" ht="24" x14ac:dyDescent="0.15">
      <c r="A1247" s="36">
        <v>1246</v>
      </c>
      <c r="B1247" s="3" t="s">
        <v>59</v>
      </c>
      <c r="C1247" s="4" t="str">
        <f>"0001670769"</f>
        <v>0001670769</v>
      </c>
      <c r="D1247" s="5" t="str">
        <f>"An introduction to genetic algorithms / Melanie Mitchell ; : pb.-- MIT Press; 1998, c1996.-- (Complex adaptive systems)."</f>
        <v>An introduction to genetic algorithms / Melanie Mitchell ; : pb.-- MIT Press; 1998, c1996.-- (Complex adaptive systems).</v>
      </c>
      <c r="E1247" s="4" t="str">
        <f>": pb"</f>
        <v>: pb</v>
      </c>
      <c r="F1247" s="26"/>
      <c r="G1247" s="27" t="str">
        <f>"467/MI"</f>
        <v>467/MI</v>
      </c>
      <c r="H1247" s="4" t="str">
        <f>"1998/04/21"</f>
        <v>1998/04/21</v>
      </c>
      <c r="I1247" s="6">
        <v>4422</v>
      </c>
      <c r="J1247" s="6">
        <v>100</v>
      </c>
      <c r="K1247" s="4" t="str">
        <f>"2  洋書"</f>
        <v>2  洋書</v>
      </c>
      <c r="L1247" s="7"/>
    </row>
    <row r="1248" spans="1:12" ht="24" x14ac:dyDescent="0.15">
      <c r="A1248" s="36">
        <v>1247</v>
      </c>
      <c r="B1248" s="3" t="s">
        <v>59</v>
      </c>
      <c r="C1248" s="4" t="str">
        <f>"0001277197"</f>
        <v>0001277197</v>
      </c>
      <c r="D1248" s="5" t="str">
        <f>"ブラインド・ウォッチメイカー : 自然淘汰は偶然か? / リチャード・ドーキンス著 ; 中嶋康裕 [ほか] 訳 ; 日高敏隆監修 ; 上, 下.-- 早川書房; 1993.10."</f>
        <v>ブラインド・ウォッチメイカー : 自然淘汰は偶然か? / リチャード・ドーキンス著 ; 中嶋康裕 [ほか] 訳 ; 日高敏隆監修 ; 上, 下.-- 早川書房; 1993.10.</v>
      </c>
      <c r="E1248" s="4" t="str">
        <f>"上"</f>
        <v>上</v>
      </c>
      <c r="F1248" s="26"/>
      <c r="G1248" s="27" t="str">
        <f>"467.5/ﾄﾞｷ/1"</f>
        <v>467.5/ﾄﾞｷ/1</v>
      </c>
      <c r="H1248" s="4" t="str">
        <f>"1996/10/15"</f>
        <v>1996/10/15</v>
      </c>
      <c r="I1248" s="6">
        <v>1710</v>
      </c>
      <c r="J1248" s="6">
        <v>100</v>
      </c>
      <c r="K1248" s="4" t="str">
        <f t="shared" si="65"/>
        <v>1  和書</v>
      </c>
      <c r="L1248" s="7"/>
    </row>
    <row r="1249" spans="1:12" ht="24" x14ac:dyDescent="0.15">
      <c r="A1249" s="36">
        <v>1248</v>
      </c>
      <c r="B1249" s="3" t="s">
        <v>59</v>
      </c>
      <c r="C1249" s="4" t="str">
        <f>"0001277203"</f>
        <v>0001277203</v>
      </c>
      <c r="D1249" s="5" t="str">
        <f>"ブラインド・ウォッチメイカー : 自然淘汰は偶然か? / リチャード・ドーキンス著 ; 中嶋康裕 [ほか] 訳 ; 日高敏隆監修 ; 上, 下.-- 早川書房; 1993.10."</f>
        <v>ブラインド・ウォッチメイカー : 自然淘汰は偶然か? / リチャード・ドーキンス著 ; 中嶋康裕 [ほか] 訳 ; 日高敏隆監修 ; 上, 下.-- 早川書房; 1993.10.</v>
      </c>
      <c r="E1249" s="4" t="str">
        <f>"下"</f>
        <v>下</v>
      </c>
      <c r="F1249" s="26"/>
      <c r="G1249" s="27" t="str">
        <f>"467.5/ﾄﾞｷ/2"</f>
        <v>467.5/ﾄﾞｷ/2</v>
      </c>
      <c r="H1249" s="4" t="str">
        <f>"1996/10/15"</f>
        <v>1996/10/15</v>
      </c>
      <c r="I1249" s="6">
        <v>1710</v>
      </c>
      <c r="J1249" s="6">
        <v>100</v>
      </c>
      <c r="K1249" s="4" t="str">
        <f t="shared" si="65"/>
        <v>1  和書</v>
      </c>
      <c r="L1249" s="7"/>
    </row>
    <row r="1250" spans="1:12" ht="24" x14ac:dyDescent="0.15">
      <c r="A1250" s="36">
        <v>1249</v>
      </c>
      <c r="B1250" s="3" t="s">
        <v>59</v>
      </c>
      <c r="C1250" s="4" t="str">
        <f>"0001281354"</f>
        <v>0001281354</v>
      </c>
      <c r="D1250" s="5" t="str">
        <f>"赤の女王 : 性とヒトの進化 / マット・リドレー著 ; 長谷川真理子訳.-- 翔泳社; 1995.1.-- (翔泳選書)."</f>
        <v>赤の女王 : 性とヒトの進化 / マット・リドレー著 ; 長谷川真理子訳.-- 翔泳社; 1995.1.-- (翔泳選書).</v>
      </c>
      <c r="E1250" s="4" t="str">
        <f>""</f>
        <v/>
      </c>
      <c r="F1250" s="26"/>
      <c r="G1250" s="27" t="str">
        <f>"467.5/ﾘﾄﾞ"</f>
        <v>467.5/ﾘﾄﾞ</v>
      </c>
      <c r="H1250" s="4" t="str">
        <f>"1996/12/18"</f>
        <v>1996/12/18</v>
      </c>
      <c r="I1250" s="6">
        <v>2520</v>
      </c>
      <c r="J1250" s="6">
        <v>100</v>
      </c>
      <c r="K1250" s="4" t="str">
        <f t="shared" si="65"/>
        <v>1  和書</v>
      </c>
      <c r="L1250" s="7"/>
    </row>
    <row r="1251" spans="1:12" ht="48" x14ac:dyDescent="0.15">
      <c r="A1251" s="36">
        <v>1250</v>
      </c>
      <c r="B1251" s="3" t="s">
        <v>59</v>
      </c>
      <c r="C1251" s="4" t="str">
        <f>"0000505543"</f>
        <v>0000505543</v>
      </c>
      <c r="D1251" s="5" t="str">
        <f>"Adaptation in natural and artificial systems : an introductory analysis with applications to biology, control, and artificial intelligence / John H. Holland ; : hc, : pbk.-- 1st MIT Press ed.-- MIT Press; c1992.-- (Complex adaptive systems)."</f>
        <v>Adaptation in natural and artificial systems : an introductory analysis with applications to biology, control, and artificial intelligence / John H. Holland ; : hc, : pbk.-- 1st MIT Press ed.-- MIT Press; c1992.-- (Complex adaptive systems).</v>
      </c>
      <c r="E1251" s="4" t="str">
        <f>": pbk"</f>
        <v>: pbk</v>
      </c>
      <c r="F1251" s="26"/>
      <c r="G1251" s="27" t="str">
        <f>"468.3/HO"</f>
        <v>468.3/HO</v>
      </c>
      <c r="H1251" s="4" t="str">
        <f>"1994/12/05"</f>
        <v>1994/12/05</v>
      </c>
      <c r="I1251" s="6">
        <v>3275</v>
      </c>
      <c r="J1251" s="6">
        <v>100</v>
      </c>
      <c r="K1251" s="4" t="str">
        <f>"2  洋書"</f>
        <v>2  洋書</v>
      </c>
      <c r="L1251" s="7"/>
    </row>
    <row r="1252" spans="1:12" ht="24" x14ac:dyDescent="0.15">
      <c r="A1252" s="36">
        <v>1251</v>
      </c>
      <c r="B1252" s="3" t="s">
        <v>59</v>
      </c>
      <c r="C1252" s="4" t="str">
        <f>"0001682656"</f>
        <v>0001682656</v>
      </c>
      <c r="D1252" s="5" t="str">
        <f>"顔学への招待 / 原島博著.-- 岩波書店; 1998.6.-- (岩波科学ライブラリー ; 62)."</f>
        <v>顔学への招待 / 原島博著.-- 岩波書店; 1998.6.-- (岩波科学ライブラリー ; 62).</v>
      </c>
      <c r="E1252" s="4" t="str">
        <f>""</f>
        <v/>
      </c>
      <c r="F1252" s="26"/>
      <c r="G1252" s="27" t="str">
        <f>"469.43/ﾊﾗ"</f>
        <v>469.43/ﾊﾗ</v>
      </c>
      <c r="H1252" s="4" t="str">
        <f>"1998/11/30"</f>
        <v>1998/11/30</v>
      </c>
      <c r="I1252" s="6">
        <v>945</v>
      </c>
      <c r="J1252" s="6">
        <v>100</v>
      </c>
      <c r="K1252" s="4" t="str">
        <f>"1  和書"</f>
        <v>1  和書</v>
      </c>
      <c r="L1252" s="7"/>
    </row>
    <row r="1253" spans="1:12" ht="24" x14ac:dyDescent="0.15">
      <c r="A1253" s="36">
        <v>1252</v>
      </c>
      <c r="B1253" s="3" t="s">
        <v>59</v>
      </c>
      <c r="C1253" s="10" t="str">
        <f>"0002119137"</f>
        <v>0002119137</v>
      </c>
      <c r="D1253" s="11" t="str">
        <f>"顔学への招待 / 原島博著.-- 岩波書店; 1998.6.-- (岩波科学ライブラリー ; 62)."</f>
        <v>顔学への招待 / 原島博著.-- 岩波書店; 1998.6.-- (岩波科学ライブラリー ; 62).</v>
      </c>
      <c r="E1253" s="10" t="str">
        <f>""</f>
        <v/>
      </c>
      <c r="F1253" s="28" t="s">
        <v>8</v>
      </c>
      <c r="G1253" s="29" t="str">
        <f>"469.43/ﾊﾗ"</f>
        <v>469.43/ﾊﾗ</v>
      </c>
      <c r="H1253" s="10" t="str">
        <f>"1999/10/15"</f>
        <v>1999/10/15</v>
      </c>
      <c r="I1253" s="12">
        <v>945</v>
      </c>
      <c r="J1253" s="12">
        <v>100</v>
      </c>
      <c r="K1253" s="10" t="str">
        <f>"1  和書"</f>
        <v>1  和書</v>
      </c>
      <c r="L1253" s="13"/>
    </row>
    <row r="1254" spans="1:12" ht="24" x14ac:dyDescent="0.15">
      <c r="A1254" s="36">
        <v>1253</v>
      </c>
      <c r="B1254" s="3" t="s">
        <v>60</v>
      </c>
      <c r="C1254" s="4" t="str">
        <f>"0002277271"</f>
        <v>0002277271</v>
      </c>
      <c r="D1254" s="5" t="str">
        <f>"植物のこころ / 塚谷裕一著.-- 岩波書店; 2001.5.-- (岩波新書 ; 新赤版 731)."</f>
        <v>植物のこころ / 塚谷裕一著.-- 岩波書店; 2001.5.-- (岩波新書 ; 新赤版 731).</v>
      </c>
      <c r="E1254" s="4" t="str">
        <f>""</f>
        <v/>
      </c>
      <c r="F1254" s="26"/>
      <c r="G1254" s="27" t="str">
        <f>"471/ﾂｶ"</f>
        <v>471/ﾂｶ</v>
      </c>
      <c r="H1254" s="4" t="str">
        <f>"2001/12/28"</f>
        <v>2001/12/28</v>
      </c>
      <c r="I1254" s="6">
        <v>661</v>
      </c>
      <c r="J1254" s="6">
        <v>100</v>
      </c>
      <c r="K1254" s="4" t="str">
        <f>"1  和書"</f>
        <v>1  和書</v>
      </c>
      <c r="L1254" s="7"/>
    </row>
    <row r="1255" spans="1:12" ht="24" x14ac:dyDescent="0.15">
      <c r="A1255" s="36">
        <v>1254</v>
      </c>
      <c r="B1255" s="3" t="s">
        <v>61</v>
      </c>
      <c r="C1255" s="4" t="str">
        <f>"0000502467"</f>
        <v>0000502467</v>
      </c>
      <c r="D1255" s="5" t="str">
        <f>"Intelligent behavior in animals and robots / David McFarland, Thomas B◆U00F6◆sser.-- MIT Press; c1993.-- (Complex adaptive systems)."</f>
        <v>Intelligent behavior in animals and robots / David McFarland, Thomas B◆U00F6◆sser.-- MIT Press; c1993.-- (Complex adaptive systems).</v>
      </c>
      <c r="E1255" s="4" t="str">
        <f>""</f>
        <v/>
      </c>
      <c r="F1255" s="26"/>
      <c r="G1255" s="27" t="str">
        <f>"481.78/MA"</f>
        <v>481.78/MA</v>
      </c>
      <c r="H1255" s="4" t="str">
        <f>"1994/11/09"</f>
        <v>1994/11/09</v>
      </c>
      <c r="I1255" s="6">
        <v>7776</v>
      </c>
      <c r="J1255" s="6">
        <v>100</v>
      </c>
      <c r="K1255" s="4" t="str">
        <f>"2  洋書"</f>
        <v>2  洋書</v>
      </c>
      <c r="L1255" s="7"/>
    </row>
    <row r="1256" spans="1:12" ht="24" x14ac:dyDescent="0.15">
      <c r="A1256" s="36">
        <v>1255</v>
      </c>
      <c r="B1256" s="3" t="s">
        <v>62</v>
      </c>
      <c r="C1256" s="4" t="str">
        <f>"0003527139"</f>
        <v>0003527139</v>
      </c>
      <c r="D1256" s="5" t="str">
        <f>"描かれた病 : 疾病および芸術としての医学挿画 / リチャード・バーネット著 ; 中里京子訳.-- 河出書房新社; 2016.11."</f>
        <v>描かれた病 : 疾病および芸術としての医学挿画 / リチャード・バーネット著 ; 中里京子訳.-- 河出書房新社; 2016.11.</v>
      </c>
      <c r="E1256" s="4" t="str">
        <f>""</f>
        <v/>
      </c>
      <c r="F1256" s="26"/>
      <c r="G1256" s="27" t="str">
        <f>"490.2/ﾊﾞﾈ"</f>
        <v>490.2/ﾊﾞﾈ</v>
      </c>
      <c r="H1256" s="4" t="str">
        <f>"2017/01/31"</f>
        <v>2017/01/31</v>
      </c>
      <c r="I1256" s="6">
        <v>3693</v>
      </c>
      <c r="J1256" s="6">
        <v>100</v>
      </c>
      <c r="K1256" s="4" t="str">
        <f>"1  和書"</f>
        <v>1  和書</v>
      </c>
      <c r="L1256" s="7"/>
    </row>
    <row r="1257" spans="1:12" ht="24" x14ac:dyDescent="0.15">
      <c r="A1257" s="36">
        <v>1256</v>
      </c>
      <c r="B1257" s="3" t="s">
        <v>62</v>
      </c>
      <c r="C1257" s="4" t="str">
        <f>"0001287561"</f>
        <v>0001287561</v>
      </c>
      <c r="D1257" s="5" t="str">
        <f>"ボディウォッチング / デズモンド・モリス著 ; 藤田統訳.-- 小学館; 1992.8.-- (小学館ライブラリー ; 28)."</f>
        <v>ボディウォッチング / デズモンド・モリス著 ; 藤田統訳.-- 小学館; 1992.8.-- (小学館ライブラリー ; 28).</v>
      </c>
      <c r="E1257" s="4" t="str">
        <f>""</f>
        <v/>
      </c>
      <c r="F1257" s="26"/>
      <c r="G1257" s="27" t="str">
        <f>"491.1/ﾓﾘ"</f>
        <v>491.1/ﾓﾘ</v>
      </c>
      <c r="H1257" s="4" t="str">
        <f>"1997/04/07"</f>
        <v>1997/04/07</v>
      </c>
      <c r="I1257" s="6">
        <v>1008</v>
      </c>
      <c r="J1257" s="6">
        <v>100</v>
      </c>
      <c r="K1257" s="4" t="str">
        <f>"1  和書"</f>
        <v>1  和書</v>
      </c>
      <c r="L1257" s="7"/>
    </row>
    <row r="1258" spans="1:12" x14ac:dyDescent="0.15">
      <c r="A1258" s="36">
        <v>1257</v>
      </c>
      <c r="B1258" s="3" t="s">
        <v>62</v>
      </c>
      <c r="C1258" s="4" t="str">
        <f>"0000875219"</f>
        <v>0000875219</v>
      </c>
      <c r="D1258" s="5" t="str">
        <f>"手のなかの脳 / 鈴木良次著.-- 東京大学出版会; 1994.5."</f>
        <v>手のなかの脳 / 鈴木良次著.-- 東京大学出版会; 1994.5.</v>
      </c>
      <c r="E1258" s="4" t="str">
        <f>""</f>
        <v/>
      </c>
      <c r="F1258" s="26"/>
      <c r="G1258" s="27" t="str">
        <f>"491.19/ｽｽﾞ"</f>
        <v>491.19/ｽｽﾞ</v>
      </c>
      <c r="H1258" s="4" t="str">
        <f>"1995/10/11"</f>
        <v>1995/10/11</v>
      </c>
      <c r="I1258" s="6">
        <v>2039</v>
      </c>
      <c r="J1258" s="6">
        <v>100</v>
      </c>
      <c r="K1258" s="4" t="str">
        <f>"1  和書"</f>
        <v>1  和書</v>
      </c>
      <c r="L1258" s="7"/>
    </row>
    <row r="1259" spans="1:12" ht="24" x14ac:dyDescent="0.15">
      <c r="A1259" s="36">
        <v>1258</v>
      </c>
      <c r="B1259" s="3" t="s">
        <v>62</v>
      </c>
      <c r="C1259" s="4" t="str">
        <f>"0001277159"</f>
        <v>0001277159</v>
      </c>
      <c r="D1259" s="5" t="str">
        <f>"腸は考える / 藤田恒夫著.-- 岩波書店; 1991.10.-- (岩波新書 ; 新赤版 191)."</f>
        <v>腸は考える / 藤田恒夫著.-- 岩波書店; 1991.10.-- (岩波新書 ; 新赤版 191).</v>
      </c>
      <c r="E1259" s="4" t="str">
        <f>""</f>
        <v/>
      </c>
      <c r="F1259" s="26"/>
      <c r="G1259" s="27" t="str">
        <f>"491.34/ﾌｼﾞ"</f>
        <v>491.34/ﾌｼﾞ</v>
      </c>
      <c r="H1259" s="4" t="str">
        <f>"1996/10/15"</f>
        <v>1996/10/15</v>
      </c>
      <c r="I1259" s="6">
        <v>585</v>
      </c>
      <c r="J1259" s="6">
        <v>100</v>
      </c>
      <c r="K1259" s="4" t="str">
        <f>"1  和書"</f>
        <v>1  和書</v>
      </c>
      <c r="L1259" s="7"/>
    </row>
    <row r="1260" spans="1:12" ht="24" x14ac:dyDescent="0.15">
      <c r="A1260" s="36">
        <v>1259</v>
      </c>
      <c r="B1260" s="3" t="s">
        <v>62</v>
      </c>
      <c r="C1260" s="4" t="str">
        <f>"0001277173"</f>
        <v>0001277173</v>
      </c>
      <c r="D1260" s="5" t="str">
        <f>"脳から心へ : 心の進化の生物学 / G.M.エーデルマン著 ; 金子隆芳訳.-- 新曜社; 1995.5."</f>
        <v>脳から心へ : 心の進化の生物学 / G.M.エーデルマン著 ; 金子隆芳訳.-- 新曜社; 1995.5.</v>
      </c>
      <c r="E1260" s="4" t="str">
        <f>""</f>
        <v/>
      </c>
      <c r="F1260" s="26"/>
      <c r="G1260" s="27" t="str">
        <f>"491.37/ｴﾃﾞ"</f>
        <v>491.37/ｴﾃﾞ</v>
      </c>
      <c r="H1260" s="4" t="str">
        <f>"1996/10/15"</f>
        <v>1996/10/15</v>
      </c>
      <c r="I1260" s="6">
        <v>3522</v>
      </c>
      <c r="J1260" s="6">
        <v>100</v>
      </c>
      <c r="K1260" s="4" t="str">
        <f t="shared" ref="K1260:K1271" si="66">"1  和書"</f>
        <v>1  和書</v>
      </c>
      <c r="L1260" s="7"/>
    </row>
    <row r="1261" spans="1:12" ht="24" x14ac:dyDescent="0.15">
      <c r="A1261" s="36">
        <v>1260</v>
      </c>
      <c r="B1261" s="3" t="s">
        <v>62</v>
      </c>
      <c r="C1261" s="4" t="str">
        <f>"0001278095"</f>
        <v>0001278095</v>
      </c>
      <c r="D1261" s="5" t="str">
        <f>"DNAに魂はあるか : 驚異の仮説 / F. クリック著 ; 中原英臣訳.-- 講談社; 1995.11."</f>
        <v>DNAに魂はあるか : 驚異の仮説 / F. クリック著 ; 中原英臣訳.-- 講談社; 1995.11.</v>
      </c>
      <c r="E1261" s="4" t="str">
        <f>""</f>
        <v/>
      </c>
      <c r="F1261" s="26"/>
      <c r="G1261" s="27" t="str">
        <f>"491.37/ｸﾘ"</f>
        <v>491.37/ｸﾘ</v>
      </c>
      <c r="H1261" s="4" t="str">
        <f>"1996/10/21"</f>
        <v>1996/10/21</v>
      </c>
      <c r="I1261" s="6">
        <v>2520</v>
      </c>
      <c r="J1261" s="6">
        <v>100</v>
      </c>
      <c r="K1261" s="4" t="str">
        <f t="shared" si="66"/>
        <v>1  和書</v>
      </c>
      <c r="L1261" s="7"/>
    </row>
    <row r="1262" spans="1:12" x14ac:dyDescent="0.15">
      <c r="A1262" s="36">
        <v>1261</v>
      </c>
      <c r="B1262" s="3" t="s">
        <v>62</v>
      </c>
      <c r="C1262" s="4" t="str">
        <f>"0000866682"</f>
        <v>0000866682</v>
      </c>
      <c r="D1262" s="5" t="str">
        <f>"唯脳論 / 養老孟司著.-- 青土社; 1989.9."</f>
        <v>唯脳論 / 養老孟司著.-- 青土社; 1989.9.</v>
      </c>
      <c r="E1262" s="4" t="str">
        <f>""</f>
        <v/>
      </c>
      <c r="F1262" s="26"/>
      <c r="G1262" s="27" t="str">
        <f>"491.37/ﾖｳ"</f>
        <v>491.37/ﾖｳ</v>
      </c>
      <c r="H1262" s="4" t="str">
        <f>"1995/08/19"</f>
        <v>1995/08/19</v>
      </c>
      <c r="I1262" s="6">
        <v>1440</v>
      </c>
      <c r="J1262" s="6">
        <v>100</v>
      </c>
      <c r="K1262" s="4" t="str">
        <f t="shared" si="66"/>
        <v>1  和書</v>
      </c>
      <c r="L1262" s="7"/>
    </row>
    <row r="1263" spans="1:12" ht="24" x14ac:dyDescent="0.15">
      <c r="A1263" s="36">
        <v>1262</v>
      </c>
      <c r="B1263" s="3" t="s">
        <v>62</v>
      </c>
      <c r="C1263" s="4" t="str">
        <f>"0001274684"</f>
        <v>0001274684</v>
      </c>
      <c r="D1263" s="5" t="str">
        <f>"考えるヒト / 養老孟司著.-- 筑摩書房; 1996.7.-- (ちくまプリマーブックス ; 101)."</f>
        <v>考えるヒト / 養老孟司著.-- 筑摩書房; 1996.7.-- (ちくまプリマーブックス ; 101).</v>
      </c>
      <c r="E1263" s="4" t="str">
        <f>""</f>
        <v/>
      </c>
      <c r="F1263" s="26"/>
      <c r="G1263" s="27" t="str">
        <f>"491.37/ﾖｳ"</f>
        <v>491.37/ﾖｳ</v>
      </c>
      <c r="H1263" s="4" t="str">
        <f>"1996/08/26"</f>
        <v>1996/08/26</v>
      </c>
      <c r="I1263" s="6">
        <v>990</v>
      </c>
      <c r="J1263" s="6">
        <v>100</v>
      </c>
      <c r="K1263" s="4" t="str">
        <f t="shared" si="66"/>
        <v>1  和書</v>
      </c>
      <c r="L1263" s="7"/>
    </row>
    <row r="1264" spans="1:12" ht="36" x14ac:dyDescent="0.15">
      <c r="A1264" s="36">
        <v>1263</v>
      </c>
      <c r="B1264" s="3" t="s">
        <v>62</v>
      </c>
      <c r="C1264" s="4" t="str">
        <f>"0000790093"</f>
        <v>0000790093</v>
      </c>
      <c r="D1264" s="5" t="str">
        <f>"Vision, brain, and cooperative computation / edited by Michael A. Arbib and Allen R. Hanson ; : pbk.-- MIT Press; 1990 , c1987.-- (Computational models of cognition and perception)."</f>
        <v>Vision, brain, and cooperative computation / edited by Michael A. Arbib and Allen R. Hanson ; : pbk.-- MIT Press; 1990 , c1987.-- (Computational models of cognition and perception).</v>
      </c>
      <c r="E1264" s="4" t="str">
        <f>": pbk"</f>
        <v>: pbk</v>
      </c>
      <c r="F1264" s="26"/>
      <c r="G1264" s="27" t="str">
        <f>"491.37/AR"</f>
        <v>491.37/AR</v>
      </c>
      <c r="H1264" s="4" t="str">
        <f>"1995/03/31"</f>
        <v>1995/03/31</v>
      </c>
      <c r="I1264" s="6">
        <v>5039</v>
      </c>
      <c r="J1264" s="6">
        <v>100</v>
      </c>
      <c r="K1264" s="4" t="str">
        <f>"2  洋書"</f>
        <v>2  洋書</v>
      </c>
      <c r="L1264" s="7"/>
    </row>
    <row r="1265" spans="1:12" ht="36" x14ac:dyDescent="0.15">
      <c r="A1265" s="36">
        <v>1264</v>
      </c>
      <c r="B1265" s="3" t="s">
        <v>62</v>
      </c>
      <c r="C1265" s="10" t="str">
        <f>"0000507745"</f>
        <v>0000507745</v>
      </c>
      <c r="D1265" s="11" t="str">
        <f>"The cognitive neurosciences / Michael S. Gazzaniga, editor-in-chief ; section editors, Emilio Bizzi ... [et al.].-- MIT Press; c1995.-- (Bradford book)."</f>
        <v>The cognitive neurosciences / Michael S. Gazzaniga, editor-in-chief ; section editors, Emilio Bizzi ... [et al.].-- MIT Press; c1995.-- (Bradford book).</v>
      </c>
      <c r="E1265" s="10" t="str">
        <f>""</f>
        <v/>
      </c>
      <c r="F1265" s="28" t="s">
        <v>8</v>
      </c>
      <c r="G1265" s="29" t="str">
        <f>"491.37/GA"</f>
        <v>491.37/GA</v>
      </c>
      <c r="H1265" s="10" t="str">
        <f>"1994/12/13"</f>
        <v>1994/12/13</v>
      </c>
      <c r="I1265" s="12">
        <v>18489</v>
      </c>
      <c r="J1265" s="14">
        <v>500</v>
      </c>
      <c r="K1265" s="10" t="str">
        <f>"2  洋書"</f>
        <v>2  洋書</v>
      </c>
      <c r="L1265" s="13"/>
    </row>
    <row r="1266" spans="1:12" ht="36" x14ac:dyDescent="0.15">
      <c r="A1266" s="36">
        <v>1265</v>
      </c>
      <c r="B1266" s="3" t="s">
        <v>62</v>
      </c>
      <c r="C1266" s="10" t="str">
        <f>"0001481143"</f>
        <v>0001481143</v>
      </c>
      <c r="D1266" s="11" t="str">
        <f>"The handbook of brain theory and neural networks / edited by Michael A. Arbib ; editorial advisory board, George Adelman ... [et al.] ; editorial assistant, Prudence H. Arbib.-- MIT Press; c1995."</f>
        <v>The handbook of brain theory and neural networks / edited by Michael A. Arbib ; editorial advisory board, George Adelman ... [et al.] ; editorial assistant, Prudence H. Arbib.-- MIT Press; c1995.</v>
      </c>
      <c r="E1266" s="10" t="str">
        <f>""</f>
        <v/>
      </c>
      <c r="F1266" s="28" t="s">
        <v>8</v>
      </c>
      <c r="G1266" s="29" t="str">
        <f>"R491.37/HA"</f>
        <v>R491.37/HA</v>
      </c>
      <c r="H1266" s="10" t="str">
        <f>"1997/03/31"</f>
        <v>1997/03/31</v>
      </c>
      <c r="I1266" s="12">
        <v>10068</v>
      </c>
      <c r="J1266" s="14">
        <v>500</v>
      </c>
      <c r="K1266" s="10" t="str">
        <f>"2  洋書"</f>
        <v>2  洋書</v>
      </c>
      <c r="L1266" s="13"/>
    </row>
    <row r="1267" spans="1:12" ht="24" x14ac:dyDescent="0.15">
      <c r="A1267" s="36">
        <v>1266</v>
      </c>
      <c r="B1267" s="3" t="s">
        <v>62</v>
      </c>
      <c r="C1267" s="4" t="str">
        <f>"0002752709"</f>
        <v>0002752709</v>
      </c>
      <c r="D1267" s="5" t="str">
        <f>"Vision science : photons to phenomenology / Stephen E. Palmer.-- MIT Press; c1999."</f>
        <v>Vision science : photons to phenomenology / Stephen E. Palmer.-- MIT Press; c1999.</v>
      </c>
      <c r="E1267" s="4" t="str">
        <f>""</f>
        <v/>
      </c>
      <c r="F1267" s="26"/>
      <c r="G1267" s="27" t="str">
        <f>"491.37/PA"</f>
        <v>491.37/PA</v>
      </c>
      <c r="H1267" s="4" t="str">
        <f>"2004/03/16"</f>
        <v>2004/03/16</v>
      </c>
      <c r="I1267" s="6">
        <v>11859</v>
      </c>
      <c r="J1267" s="8">
        <v>500</v>
      </c>
      <c r="K1267" s="4" t="str">
        <f>"2  洋書"</f>
        <v>2  洋書</v>
      </c>
      <c r="L1267" s="7"/>
    </row>
    <row r="1268" spans="1:12" ht="24" x14ac:dyDescent="0.15">
      <c r="A1268" s="36">
        <v>1267</v>
      </c>
      <c r="B1268" s="3" t="s">
        <v>62</v>
      </c>
      <c r="C1268" s="4" t="str">
        <f>"0001276718"</f>
        <v>0001276718</v>
      </c>
      <c r="D1268" s="5" t="str">
        <f>"生化学 / 奥恒行, 高橋正侑編集.-- 南江堂; 1992.11.-- (栄養・健康科学シリーズ)."</f>
        <v>生化学 / 奥恒行, 高橋正侑編集.-- 南江堂; 1992.11.-- (栄養・健康科学シリーズ).</v>
      </c>
      <c r="E1268" s="4" t="str">
        <f>""</f>
        <v/>
      </c>
      <c r="F1268" s="26"/>
      <c r="G1268" s="27" t="str">
        <f>"491.4/ｵｸ"</f>
        <v>491.4/ｵｸ</v>
      </c>
      <c r="H1268" s="4" t="str">
        <f>"1996/09/30"</f>
        <v>1996/09/30</v>
      </c>
      <c r="I1268" s="6">
        <v>2250</v>
      </c>
      <c r="J1268" s="6">
        <v>100</v>
      </c>
      <c r="K1268" s="4" t="str">
        <f t="shared" si="66"/>
        <v>1  和書</v>
      </c>
      <c r="L1268" s="7"/>
    </row>
    <row r="1269" spans="1:12" ht="24" x14ac:dyDescent="0.15">
      <c r="A1269" s="36">
        <v>1268</v>
      </c>
      <c r="B1269" s="3" t="s">
        <v>62</v>
      </c>
      <c r="C1269" s="10" t="str">
        <f>"0002270890"</f>
        <v>0002270890</v>
      </c>
      <c r="D1269" s="11" t="str">
        <f>"人はなぜ病気になるのか : 進化医学の視点 / 井村裕夫著.-- 岩波書店; 2000.12."</f>
        <v>人はなぜ病気になるのか : 進化医学の視点 / 井村裕夫著.-- 岩波書店; 2000.12.</v>
      </c>
      <c r="E1269" s="10" t="str">
        <f>""</f>
        <v/>
      </c>
      <c r="F1269" s="28" t="s">
        <v>8</v>
      </c>
      <c r="G1269" s="29" t="str">
        <f>"491.69/ｲﾑ"</f>
        <v>491.69/ｲﾑ</v>
      </c>
      <c r="H1269" s="10" t="str">
        <f>"2001/08/07"</f>
        <v>2001/08/07</v>
      </c>
      <c r="I1269" s="12">
        <v>2646</v>
      </c>
      <c r="J1269" s="12">
        <v>100</v>
      </c>
      <c r="K1269" s="10" t="str">
        <f t="shared" si="66"/>
        <v>1  和書</v>
      </c>
      <c r="L1269" s="13"/>
    </row>
    <row r="1270" spans="1:12" ht="24" x14ac:dyDescent="0.15">
      <c r="A1270" s="36">
        <v>1269</v>
      </c>
      <c r="B1270" s="3" t="s">
        <v>62</v>
      </c>
      <c r="C1270" s="10" t="str">
        <f>"0001569209"</f>
        <v>0001569209</v>
      </c>
      <c r="D1270" s="11" t="str">
        <f>"ウイルスと感染のしくみ / 生田哲著.-- 日本実業出版社; 1996.9.-- (入門ビジュアルサイエンス)."</f>
        <v>ウイルスと感染のしくみ / 生田哲著.-- 日本実業出版社; 1996.9.-- (入門ビジュアルサイエンス).</v>
      </c>
      <c r="E1270" s="10" t="str">
        <f>""</f>
        <v/>
      </c>
      <c r="F1270" s="28" t="s">
        <v>8</v>
      </c>
      <c r="G1270" s="29" t="str">
        <f>"491.77/ｲｸ"</f>
        <v>491.77/ｲｸ</v>
      </c>
      <c r="H1270" s="10" t="str">
        <f>"1998/03/31"</f>
        <v>1998/03/31</v>
      </c>
      <c r="I1270" s="12">
        <v>2510</v>
      </c>
      <c r="J1270" s="12">
        <v>100</v>
      </c>
      <c r="K1270" s="10" t="str">
        <f t="shared" si="66"/>
        <v>1  和書</v>
      </c>
      <c r="L1270" s="13"/>
    </row>
    <row r="1271" spans="1:12" ht="24" x14ac:dyDescent="0.15">
      <c r="A1271" s="36">
        <v>1270</v>
      </c>
      <c r="B1271" s="3" t="s">
        <v>62</v>
      </c>
      <c r="C1271" s="10" t="str">
        <f>"0001570595"</f>
        <v>0001570595</v>
      </c>
      <c r="D1271" s="11" t="str">
        <f>"ウイルスと感染のしくみ / 生田哲著.-- 日本実業出版社; 1996.9.-- (入門ビジュアルサイエンス)."</f>
        <v>ウイルスと感染のしくみ / 生田哲著.-- 日本実業出版社; 1996.9.-- (入門ビジュアルサイエンス).</v>
      </c>
      <c r="E1271" s="10" t="str">
        <f>""</f>
        <v/>
      </c>
      <c r="F1271" s="28" t="s">
        <v>8</v>
      </c>
      <c r="G1271" s="29" t="str">
        <f>"491.77/ｲｸ"</f>
        <v>491.77/ｲｸ</v>
      </c>
      <c r="H1271" s="10" t="str">
        <f>"1998/03/31"</f>
        <v>1998/03/31</v>
      </c>
      <c r="I1271" s="12">
        <v>1255</v>
      </c>
      <c r="J1271" s="12">
        <v>100</v>
      </c>
      <c r="K1271" s="10" t="str">
        <f t="shared" si="66"/>
        <v>1  和書</v>
      </c>
      <c r="L1271" s="13"/>
    </row>
    <row r="1272" spans="1:12" ht="36" x14ac:dyDescent="0.15">
      <c r="A1272" s="36">
        <v>1271</v>
      </c>
      <c r="B1272" s="3" t="s">
        <v>62</v>
      </c>
      <c r="C1272" s="4" t="str">
        <f>"0003264867"</f>
        <v>0003264867</v>
      </c>
      <c r="D1272" s="5" t="str">
        <f>"Analysis and application of analog electronic circuits to biomedical instrumentation / Robert B. Northrop.-- 2nd ed.-- CRC Press; c2012.-- (Biomedical engineering)."</f>
        <v>Analysis and application of analog electronic circuits to biomedical instrumentation / Robert B. Northrop.-- 2nd ed.-- CRC Press; c2012.-- (Biomedical engineering).</v>
      </c>
      <c r="E1272" s="4" t="str">
        <f>""</f>
        <v/>
      </c>
      <c r="F1272" s="26"/>
      <c r="G1272" s="27" t="str">
        <f>"492.8/NO"</f>
        <v>492.8/NO</v>
      </c>
      <c r="H1272" s="4" t="str">
        <f>"2013/03/06"</f>
        <v>2013/03/06</v>
      </c>
      <c r="I1272" s="6">
        <v>13165</v>
      </c>
      <c r="J1272" s="8">
        <v>500</v>
      </c>
      <c r="K1272" s="4" t="str">
        <f>"2  洋書"</f>
        <v>2  洋書</v>
      </c>
      <c r="L1272" s="7"/>
    </row>
    <row r="1273" spans="1:12" x14ac:dyDescent="0.15">
      <c r="A1273" s="36">
        <v>1272</v>
      </c>
      <c r="B1273" s="3" t="s">
        <v>62</v>
      </c>
      <c r="C1273" s="4" t="str">
        <f>"0003522219"</f>
        <v>0003522219</v>
      </c>
      <c r="D1273" s="5" t="str">
        <f>"自閉症連続体の時代 / 立岩真也 [著].-- みすず書房; 2014.8."</f>
        <v>自閉症連続体の時代 / 立岩真也 [著].-- みすず書房; 2014.8.</v>
      </c>
      <c r="E1273" s="4" t="str">
        <f>""</f>
        <v/>
      </c>
      <c r="F1273" s="26"/>
      <c r="G1273" s="27" t="str">
        <f>"493.76/ﾀﾃ"</f>
        <v>493.76/ﾀﾃ</v>
      </c>
      <c r="H1273" s="4" t="str">
        <f>"2016/08/04"</f>
        <v>2016/08/04</v>
      </c>
      <c r="I1273" s="6">
        <v>3596</v>
      </c>
      <c r="J1273" s="6">
        <v>100</v>
      </c>
      <c r="K1273" s="4" t="str">
        <f t="shared" ref="K1273:K1285" si="67">"1  和書"</f>
        <v>1  和書</v>
      </c>
      <c r="L1273" s="7"/>
    </row>
    <row r="1274" spans="1:12" x14ac:dyDescent="0.15">
      <c r="A1274" s="36">
        <v>1273</v>
      </c>
      <c r="B1274" s="3" t="s">
        <v>62</v>
      </c>
      <c r="C1274" s="4" t="str">
        <f>"0001844429"</f>
        <v>0001844429</v>
      </c>
      <c r="D1274" s="5" t="str">
        <f>"最終講義 : 分裂病私見 / 中井久夫 [著].-- みすず書房; 1998.5."</f>
        <v>最終講義 : 分裂病私見 / 中井久夫 [著].-- みすず書房; 1998.5.</v>
      </c>
      <c r="E1274" s="4" t="str">
        <f>""</f>
        <v/>
      </c>
      <c r="F1274" s="26"/>
      <c r="G1274" s="27" t="str">
        <f>"493.76/ﾅｶ"</f>
        <v>493.76/ﾅｶ</v>
      </c>
      <c r="H1274" s="4" t="str">
        <f>"1998/10/27"</f>
        <v>1998/10/27</v>
      </c>
      <c r="I1274" s="6">
        <v>1890</v>
      </c>
      <c r="J1274" s="6">
        <v>100</v>
      </c>
      <c r="K1274" s="4" t="str">
        <f t="shared" si="67"/>
        <v>1  和書</v>
      </c>
      <c r="L1274" s="7"/>
    </row>
    <row r="1275" spans="1:12" x14ac:dyDescent="0.15">
      <c r="A1275" s="36">
        <v>1274</v>
      </c>
      <c r="B1275" s="3" t="s">
        <v>62</v>
      </c>
      <c r="C1275" s="4" t="str">
        <f>"0001282153"</f>
        <v>0001282153</v>
      </c>
      <c r="D1275" s="5" t="str">
        <f>"食品分析ハンドブック / 林淳三 [ほか] 編.-- 改訂版.-- 建帛社; 1982.10."</f>
        <v>食品分析ハンドブック / 林淳三 [ほか] 編.-- 改訂版.-- 建帛社; 1982.10.</v>
      </c>
      <c r="E1275" s="4" t="str">
        <f>""</f>
        <v/>
      </c>
      <c r="F1275" s="26"/>
      <c r="G1275" s="27" t="str">
        <f>"498.53/ｼﾖ"</f>
        <v>498.53/ｼﾖ</v>
      </c>
      <c r="H1275" s="4" t="str">
        <f>"1996/12/26"</f>
        <v>1996/12/26</v>
      </c>
      <c r="I1275" s="6">
        <v>7020</v>
      </c>
      <c r="J1275" s="6">
        <v>100</v>
      </c>
      <c r="K1275" s="4" t="str">
        <f t="shared" si="67"/>
        <v>1  和書</v>
      </c>
      <c r="L1275" s="7"/>
    </row>
    <row r="1276" spans="1:12" ht="24" x14ac:dyDescent="0.15">
      <c r="A1276" s="36">
        <v>1275</v>
      </c>
      <c r="B1276" s="3" t="s">
        <v>62</v>
      </c>
      <c r="C1276" s="10" t="str">
        <f>"0000477246"</f>
        <v>0000477246</v>
      </c>
      <c r="D1276" s="11" t="str">
        <f>"エイズ教育テキスト : 予防と共存のためのQ&amp;A / 根岸昌功 [ほか] 編集.-- 学習研究社; 1993.7."</f>
        <v>エイズ教育テキスト : 予防と共存のためのQ&amp;A / 根岸昌功 [ほか] 編集.-- 学習研究社; 1993.7.</v>
      </c>
      <c r="E1276" s="10" t="str">
        <f>""</f>
        <v/>
      </c>
      <c r="F1276" s="28" t="s">
        <v>8</v>
      </c>
      <c r="G1276" s="29" t="str">
        <f>"498.6/ﾈｷﾞ"</f>
        <v>498.6/ﾈｷﾞ</v>
      </c>
      <c r="H1276" s="10" t="str">
        <f>"1994/08/23"</f>
        <v>1994/08/23</v>
      </c>
      <c r="I1276" s="12">
        <v>900</v>
      </c>
      <c r="J1276" s="12">
        <v>100</v>
      </c>
      <c r="K1276" s="10" t="str">
        <f t="shared" si="67"/>
        <v>1  和書</v>
      </c>
      <c r="L1276" s="13"/>
    </row>
    <row r="1277" spans="1:12" ht="24" x14ac:dyDescent="0.15">
      <c r="A1277" s="36">
        <v>1276</v>
      </c>
      <c r="B1277" s="3" t="s">
        <v>62</v>
      </c>
      <c r="C1277" s="4" t="str">
        <f>"0002901589"</f>
        <v>0002901589</v>
      </c>
      <c r="D1277" s="5" t="str">
        <f>"差別とハンセン病 : 「柊 (ひいらぎ) の垣根」は今も / 畑谷史代著.-- 平凡社; 2006.1.-- (平凡社新書 ; 307)."</f>
        <v>差別とハンセン病 : 「柊 (ひいらぎ) の垣根」は今も / 畑谷史代著.-- 平凡社; 2006.1.-- (平凡社新書 ; 307).</v>
      </c>
      <c r="E1277" s="4" t="str">
        <f>""</f>
        <v/>
      </c>
      <c r="F1277" s="26"/>
      <c r="G1277" s="27" t="str">
        <f>"498.6/ﾊﾀ"</f>
        <v>498.6/ﾊﾀ</v>
      </c>
      <c r="H1277" s="4" t="str">
        <f>"2006/05/02"</f>
        <v>2006/05/02</v>
      </c>
      <c r="I1277" s="6">
        <v>718</v>
      </c>
      <c r="J1277" s="6">
        <v>100</v>
      </c>
      <c r="K1277" s="4" t="str">
        <f t="shared" si="67"/>
        <v>1  和書</v>
      </c>
      <c r="L1277" s="7"/>
    </row>
    <row r="1278" spans="1:12" ht="24" x14ac:dyDescent="0.15">
      <c r="A1278" s="36">
        <v>1277</v>
      </c>
      <c r="B1278" s="3" t="s">
        <v>63</v>
      </c>
      <c r="C1278" s="4" t="str">
        <f>"0001260014"</f>
        <v>0001260014</v>
      </c>
      <c r="D1278" s="5" t="str">
        <f>"一般システム理論 : その基礎・発展・応用 / フォン・ベルタランフィ [著] ; 長野敬, 太田邦昌訳.-- みすず書房; 1973.7."</f>
        <v>一般システム理論 : その基礎・発展・応用 / フォン・ベルタランフィ [著] ; 長野敬, 太田邦昌訳.-- みすず書房; 1973.7.</v>
      </c>
      <c r="E1278" s="4" t="str">
        <f>""</f>
        <v/>
      </c>
      <c r="F1278" s="26"/>
      <c r="G1278" s="27" t="str">
        <f>"501/ﾍﾞﾙ"</f>
        <v>501/ﾍﾞﾙ</v>
      </c>
      <c r="H1278" s="4" t="str">
        <f>"1996/01/23"</f>
        <v>1996/01/23</v>
      </c>
      <c r="I1278" s="6">
        <v>3245</v>
      </c>
      <c r="J1278" s="6">
        <v>100</v>
      </c>
      <c r="K1278" s="4" t="str">
        <f t="shared" si="67"/>
        <v>1  和書</v>
      </c>
      <c r="L1278" s="7"/>
    </row>
    <row r="1279" spans="1:12" ht="24" x14ac:dyDescent="0.15">
      <c r="A1279" s="36">
        <v>1278</v>
      </c>
      <c r="B1279" s="3" t="s">
        <v>63</v>
      </c>
      <c r="C1279" s="4" t="str">
        <f>"0001290158"</f>
        <v>0001290158</v>
      </c>
      <c r="D1279" s="5" t="str">
        <f>"センサ工学 / 森泉豊栄, 中本高道共著.-- 昭晃堂; 1997.5.-- (21世紀を指向した電子・通信・情報カリキュラムシリーズ ; A-7)."</f>
        <v>センサ工学 / 森泉豊栄, 中本高道共著.-- 昭晃堂; 1997.5.-- (21世紀を指向した電子・通信・情報カリキュラムシリーズ ; A-7).</v>
      </c>
      <c r="E1279" s="4" t="str">
        <f>""</f>
        <v/>
      </c>
      <c r="F1279" s="26"/>
      <c r="G1279" s="27" t="str">
        <f>"501.22/ﾓﾘ"</f>
        <v>501.22/ﾓﾘ</v>
      </c>
      <c r="H1279" s="4" t="str">
        <f>"1997/05/09"</f>
        <v>1997/05/09</v>
      </c>
      <c r="I1279" s="6">
        <v>2835</v>
      </c>
      <c r="J1279" s="6">
        <v>100</v>
      </c>
      <c r="K1279" s="4" t="str">
        <f t="shared" si="67"/>
        <v>1  和書</v>
      </c>
      <c r="L1279" s="7"/>
    </row>
    <row r="1280" spans="1:12" ht="24" x14ac:dyDescent="0.15">
      <c r="A1280" s="36">
        <v>1279</v>
      </c>
      <c r="B1280" s="3" t="s">
        <v>63</v>
      </c>
      <c r="C1280" s="4" t="str">
        <f>"0002298672"</f>
        <v>0002298672</v>
      </c>
      <c r="D1280" s="5" t="str">
        <f>"音の福祉工学 / 伊福部達著.-- コロナ社; 1997.6.-- (音響テクノロジーシリーズ / 日本音響学会編 ; 3)."</f>
        <v>音の福祉工学 / 伊福部達著.-- コロナ社; 1997.6.-- (音響テクノロジーシリーズ / 日本音響学会編 ; 3).</v>
      </c>
      <c r="E1280" s="4" t="str">
        <f>""</f>
        <v/>
      </c>
      <c r="F1280" s="26"/>
      <c r="G1280" s="27" t="str">
        <f>"501.24/ﾆﾎ"</f>
        <v>501.24/ﾆﾎ</v>
      </c>
      <c r="H1280" s="4" t="str">
        <f>"2003/11/04"</f>
        <v>2003/11/04</v>
      </c>
      <c r="I1280" s="6">
        <v>3307</v>
      </c>
      <c r="J1280" s="6">
        <v>100</v>
      </c>
      <c r="K1280" s="4" t="str">
        <f t="shared" si="67"/>
        <v>1  和書</v>
      </c>
      <c r="L1280" s="7"/>
    </row>
    <row r="1281" spans="1:12" x14ac:dyDescent="0.15">
      <c r="A1281" s="36">
        <v>1280</v>
      </c>
      <c r="B1281" s="3" t="s">
        <v>63</v>
      </c>
      <c r="C1281" s="4" t="str">
        <f>"0002270982"</f>
        <v>0002270982</v>
      </c>
      <c r="D1281" s="5" t="str">
        <f>"地球エネルギー論 / 西山孝著.-- オーム社; 2001.3."</f>
        <v>地球エネルギー論 / 西山孝著.-- オーム社; 2001.3.</v>
      </c>
      <c r="E1281" s="4" t="str">
        <f>""</f>
        <v/>
      </c>
      <c r="F1281" s="26"/>
      <c r="G1281" s="27" t="str">
        <f>"501.6/ﾆｼ"</f>
        <v>501.6/ﾆｼ</v>
      </c>
      <c r="H1281" s="4" t="str">
        <f>"2001/08/07"</f>
        <v>2001/08/07</v>
      </c>
      <c r="I1281" s="6">
        <v>2174</v>
      </c>
      <c r="J1281" s="6">
        <v>100</v>
      </c>
      <c r="K1281" s="4" t="str">
        <f t="shared" si="67"/>
        <v>1  和書</v>
      </c>
      <c r="L1281" s="7"/>
    </row>
    <row r="1282" spans="1:12" x14ac:dyDescent="0.15">
      <c r="A1282" s="36">
        <v>1281</v>
      </c>
      <c r="B1282" s="3" t="s">
        <v>63</v>
      </c>
      <c r="C1282" s="10" t="str">
        <f>"0002839691"</f>
        <v>0002839691</v>
      </c>
      <c r="D1282" s="11" t="str">
        <f>"知的財産と創造性 / 宮武久佳 [著].-- みすず書房; 2007.1."</f>
        <v>知的財産と創造性 / 宮武久佳 [著].-- みすず書房; 2007.1.</v>
      </c>
      <c r="E1282" s="10" t="str">
        <f>""</f>
        <v/>
      </c>
      <c r="F1282" s="28" t="s">
        <v>8</v>
      </c>
      <c r="G1282" s="29" t="str">
        <f>"507.2/ﾐﾔ"</f>
        <v>507.2/ﾐﾔ</v>
      </c>
      <c r="H1282" s="10" t="str">
        <f>"2007/03/15"</f>
        <v>2007/03/15</v>
      </c>
      <c r="I1282" s="12">
        <v>2646</v>
      </c>
      <c r="J1282" s="12">
        <v>100</v>
      </c>
      <c r="K1282" s="10" t="str">
        <f t="shared" si="67"/>
        <v>1  和書</v>
      </c>
      <c r="L1282" s="13"/>
    </row>
    <row r="1283" spans="1:12" x14ac:dyDescent="0.15">
      <c r="A1283" s="36">
        <v>1282</v>
      </c>
      <c r="B1283" s="3" t="s">
        <v>63</v>
      </c>
      <c r="C1283" s="10" t="str">
        <f>"0002862279"</f>
        <v>0002862279</v>
      </c>
      <c r="D1283" s="11" t="str">
        <f>"産学連携の実証研究 / 馬場靖憲, 後藤晃編.-- 東京大学出版会; 2007.5."</f>
        <v>産学連携の実証研究 / 馬場靖憲, 後藤晃編.-- 東京大学出版会; 2007.5.</v>
      </c>
      <c r="E1283" s="10" t="str">
        <f>""</f>
        <v/>
      </c>
      <c r="F1283" s="28" t="s">
        <v>8</v>
      </c>
      <c r="G1283" s="29" t="str">
        <f>"507/ﾊﾞﾊﾞ"</f>
        <v>507/ﾊﾞﾊﾞ</v>
      </c>
      <c r="H1283" s="10" t="str">
        <f>"2007/08/22"</f>
        <v>2007/08/22</v>
      </c>
      <c r="I1283" s="12">
        <v>2646</v>
      </c>
      <c r="J1283" s="12">
        <v>100</v>
      </c>
      <c r="K1283" s="10" t="str">
        <f t="shared" si="67"/>
        <v>1  和書</v>
      </c>
      <c r="L1283" s="13"/>
    </row>
    <row r="1284" spans="1:12" ht="24" x14ac:dyDescent="0.15">
      <c r="A1284" s="36">
        <v>1283</v>
      </c>
      <c r="B1284" s="3" t="s">
        <v>63</v>
      </c>
      <c r="C1284" s="4" t="str">
        <f>"0002788548"</f>
        <v>0002788548</v>
      </c>
      <c r="D1284" s="5" t="str">
        <f>"頭脳はどこに向かうのか : 人「財」の国際移動 / 村上由紀子著.-- 日本経済新聞出版社; 2010.5."</f>
        <v>頭脳はどこに向かうのか : 人「財」の国際移動 / 村上由紀子著.-- 日本経済新聞出版社; 2010.5.</v>
      </c>
      <c r="E1284" s="4" t="str">
        <f>""</f>
        <v/>
      </c>
      <c r="F1284" s="26"/>
      <c r="G1284" s="27" t="str">
        <f>"509.1/ﾑﾗ"</f>
        <v>509.1/ﾑﾗ</v>
      </c>
      <c r="H1284" s="4" t="str">
        <f>"2010/09/01"</f>
        <v>2010/09/01</v>
      </c>
      <c r="I1284" s="6">
        <v>2646</v>
      </c>
      <c r="J1284" s="6">
        <v>100</v>
      </c>
      <c r="K1284" s="4" t="str">
        <f t="shared" si="67"/>
        <v>1  和書</v>
      </c>
      <c r="L1284" s="7"/>
    </row>
    <row r="1285" spans="1:12" ht="24" x14ac:dyDescent="0.15">
      <c r="A1285" s="36">
        <v>1284</v>
      </c>
      <c r="B1285" s="3" t="s">
        <v>63</v>
      </c>
      <c r="C1285" s="4" t="str">
        <f>"0001107401"</f>
        <v>0001107401</v>
      </c>
      <c r="D1285" s="5" t="str">
        <f>"タイの工業化 : NAICへの挑戦 / 末廣昭, 安田靖編.-- アジア経済研究所; 1987.5.-- (アジア工業化シリーズ ; 3)."</f>
        <v>タイの工業化 : NAICへの挑戦 / 末廣昭, 安田靖編.-- アジア経済研究所; 1987.5.-- (アジア工業化シリーズ ; 3).</v>
      </c>
      <c r="E1285" s="4" t="str">
        <f>""</f>
        <v/>
      </c>
      <c r="F1285" s="26"/>
      <c r="G1285" s="27" t="str">
        <f>"509.22/ｽｴ"</f>
        <v>509.22/ｽｴ</v>
      </c>
      <c r="H1285" s="4" t="str">
        <f>"1996/03/29"</f>
        <v>1996/03/29</v>
      </c>
      <c r="I1285" s="6">
        <v>1783</v>
      </c>
      <c r="J1285" s="6">
        <v>100</v>
      </c>
      <c r="K1285" s="4" t="str">
        <f t="shared" si="67"/>
        <v>1  和書</v>
      </c>
      <c r="L1285" s="7"/>
    </row>
    <row r="1286" spans="1:12" ht="24" x14ac:dyDescent="0.15">
      <c r="A1286" s="36">
        <v>1285</v>
      </c>
      <c r="B1286" s="3" t="s">
        <v>63</v>
      </c>
      <c r="C1286" s="4" t="str">
        <f>"0000707640"</f>
        <v>0000707640</v>
      </c>
      <c r="D1286" s="5" t="str">
        <f>"技術革新と現代世界経済 : 技術開発・移転システムの国際比較 / 林倬史, 菰田文男編著.-- ミネルヴァ書房; 1993.7."</f>
        <v>技術革新と現代世界経済 : 技術開発・移転システムの国際比較 / 林倬史, 菰田文男編著.-- ミネルヴァ書房; 1993.7.</v>
      </c>
      <c r="E1286" s="4" t="str">
        <f>""</f>
        <v/>
      </c>
      <c r="F1286" s="26"/>
      <c r="G1286" s="27" t="str">
        <f>"509.2/ﾊﾔ"</f>
        <v>509.2/ﾊﾔ</v>
      </c>
      <c r="H1286" s="4" t="str">
        <f>"1995/03/31"</f>
        <v>1995/03/31</v>
      </c>
      <c r="I1286" s="6">
        <v>2702</v>
      </c>
      <c r="J1286" s="6">
        <v>100</v>
      </c>
      <c r="K1286" s="4" t="str">
        <f>"1  和書"</f>
        <v>1  和書</v>
      </c>
      <c r="L1286" s="7"/>
    </row>
    <row r="1287" spans="1:12" ht="24" x14ac:dyDescent="0.15">
      <c r="A1287" s="36">
        <v>1286</v>
      </c>
      <c r="B1287" s="3" t="s">
        <v>63</v>
      </c>
      <c r="C1287" s="4" t="str">
        <f>"0001895735"</f>
        <v>0001895735</v>
      </c>
      <c r="D1287" s="5" t="str">
        <f>"Global shift : transforming the world economy / Peter Dicken.-- 3rd ed.-- Paul Chapman; 1998."</f>
        <v>Global shift : transforming the world economy / Peter Dicken.-- 3rd ed.-- Paul Chapman; 1998.</v>
      </c>
      <c r="E1287" s="4" t="str">
        <f>""</f>
        <v/>
      </c>
      <c r="F1287" s="26"/>
      <c r="G1287" s="27" t="str">
        <f>"509.2/DI"</f>
        <v>509.2/DI</v>
      </c>
      <c r="H1287" s="4" t="str">
        <f>"1999/03/15"</f>
        <v>1999/03/15</v>
      </c>
      <c r="I1287" s="6">
        <v>7396</v>
      </c>
      <c r="J1287" s="6">
        <v>100</v>
      </c>
      <c r="K1287" s="4" t="str">
        <f>"2  洋書"</f>
        <v>2  洋書</v>
      </c>
      <c r="L1287" s="7"/>
    </row>
    <row r="1288" spans="1:12" ht="24" x14ac:dyDescent="0.15">
      <c r="A1288" s="36">
        <v>1287</v>
      </c>
      <c r="B1288" s="3" t="s">
        <v>63</v>
      </c>
      <c r="C1288" s="4" t="str">
        <f>"0000480628"</f>
        <v>0000480628</v>
      </c>
      <c r="D1288" s="5" t="str">
        <f>"システム工学入門 : あいまい問題への挑戦 / 寺野寿郎著.-- 共立出版; 1985.3."</f>
        <v>システム工学入門 : あいまい問題への挑戦 / 寺野寿郎著.-- 共立出版; 1985.3.</v>
      </c>
      <c r="E1288" s="4" t="str">
        <f>""</f>
        <v/>
      </c>
      <c r="F1288" s="26"/>
      <c r="G1288" s="27" t="str">
        <f>"509.6/ﾃﾗ"</f>
        <v>509.6/ﾃﾗ</v>
      </c>
      <c r="H1288" s="4" t="str">
        <f>"1994/09/14"</f>
        <v>1994/09/14</v>
      </c>
      <c r="I1288" s="6">
        <v>4171</v>
      </c>
      <c r="J1288" s="6">
        <v>100</v>
      </c>
      <c r="K1288" s="4" t="str">
        <f t="shared" ref="K1288:K1349" si="68">"1  和書"</f>
        <v>1  和書</v>
      </c>
      <c r="L1288" s="7"/>
    </row>
    <row r="1289" spans="1:12" x14ac:dyDescent="0.15">
      <c r="A1289" s="36">
        <v>1288</v>
      </c>
      <c r="B1289" s="3" t="s">
        <v>63</v>
      </c>
      <c r="C1289" s="4" t="str">
        <f>"0001260632"</f>
        <v>0001260632</v>
      </c>
      <c r="D1289" s="5" t="str">
        <f>"システム工学の数理手法 / 奈良宏一, 佐藤泰司共著.-- コロナ社; 1996.1."</f>
        <v>システム工学の数理手法 / 奈良宏一, 佐藤泰司共著.-- コロナ社; 1996.1.</v>
      </c>
      <c r="E1289" s="4" t="str">
        <f>""</f>
        <v/>
      </c>
      <c r="F1289" s="26"/>
      <c r="G1289" s="27" t="str">
        <f>"509.6/ﾅﾗ"</f>
        <v>509.6/ﾅﾗ</v>
      </c>
      <c r="H1289" s="4" t="str">
        <f>"1996/01/26"</f>
        <v>1996/01/26</v>
      </c>
      <c r="I1289" s="6">
        <v>2781</v>
      </c>
      <c r="J1289" s="6">
        <v>100</v>
      </c>
      <c r="K1289" s="4" t="str">
        <f t="shared" si="68"/>
        <v>1  和書</v>
      </c>
      <c r="L1289" s="7"/>
    </row>
    <row r="1290" spans="1:12" ht="24" x14ac:dyDescent="0.15">
      <c r="A1290" s="36">
        <v>1289</v>
      </c>
      <c r="B1290" s="3" t="s">
        <v>63</v>
      </c>
      <c r="C1290" s="4" t="str">
        <f>"0001279146"</f>
        <v>0001279146</v>
      </c>
      <c r="D1290" s="5" t="str">
        <f>"Statics and kinematics with applications to robotics / Joseph Duffy.-- Cambridge University Press; 1996."</f>
        <v>Statics and kinematics with applications to robotics / Joseph Duffy.-- Cambridge University Press; 1996.</v>
      </c>
      <c r="E1290" s="4" t="str">
        <f>""</f>
        <v/>
      </c>
      <c r="F1290" s="26"/>
      <c r="G1290" s="27" t="str">
        <f>"509.6/DU"</f>
        <v>509.6/DU</v>
      </c>
      <c r="H1290" s="4" t="str">
        <f>"1996/11/12"</f>
        <v>1996/11/12</v>
      </c>
      <c r="I1290" s="6">
        <v>7916</v>
      </c>
      <c r="J1290" s="6">
        <v>100</v>
      </c>
      <c r="K1290" s="4" t="str">
        <f>"2  洋書"</f>
        <v>2  洋書</v>
      </c>
      <c r="L1290" s="7"/>
    </row>
    <row r="1291" spans="1:12" ht="24" x14ac:dyDescent="0.15">
      <c r="A1291" s="36">
        <v>1290</v>
      </c>
      <c r="B1291" s="3" t="s">
        <v>63</v>
      </c>
      <c r="C1291" s="10" t="str">
        <f>"0002275413"</f>
        <v>0002275413</v>
      </c>
      <c r="D1291" s="11" t="str">
        <f>"不良を「出さない」「つくらない」「入れない」しくみ : 品質経営は正直経営 / 関根憲一著.-- 日刊工業新聞社; 2001.8."</f>
        <v>不良を「出さない」「つくらない」「入れない」しくみ : 品質経営は正直経営 / 関根憲一著.-- 日刊工業新聞社; 2001.8.</v>
      </c>
      <c r="E1291" s="10" t="str">
        <f>""</f>
        <v/>
      </c>
      <c r="F1291" s="28" t="s">
        <v>8</v>
      </c>
      <c r="G1291" s="29" t="str">
        <f>"509.66/ｾｷ"</f>
        <v>509.66/ｾｷ</v>
      </c>
      <c r="H1291" s="10" t="str">
        <f>"2001/11/23"</f>
        <v>2001/11/23</v>
      </c>
      <c r="I1291" s="12">
        <v>2079</v>
      </c>
      <c r="J1291" s="12">
        <v>100</v>
      </c>
      <c r="K1291" s="10" t="str">
        <f>"1  和書"</f>
        <v>1  和書</v>
      </c>
      <c r="L1291" s="13"/>
    </row>
    <row r="1292" spans="1:12" ht="24" x14ac:dyDescent="0.15">
      <c r="A1292" s="36">
        <v>1291</v>
      </c>
      <c r="B1292" s="3" t="s">
        <v>63</v>
      </c>
      <c r="C1292" s="4" t="str">
        <f>"0000865685"</f>
        <v>0000865685</v>
      </c>
      <c r="D1292" s="5" t="str">
        <f>"目視検査の自動化技術 : ネオマシンビジョンアプリケーション / 輿水大和監修.-- テクノシステム; 1995.1."</f>
        <v>目視検査の自動化技術 : ネオマシンビジョンアプリケーション / 輿水大和監修.-- テクノシステム; 1995.1.</v>
      </c>
      <c r="E1292" s="4" t="str">
        <f>""</f>
        <v/>
      </c>
      <c r="F1292" s="26"/>
      <c r="G1292" s="27" t="str">
        <f>"509.66/ﾌｸ"</f>
        <v>509.66/ﾌｸ</v>
      </c>
      <c r="H1292" s="4" t="str">
        <f>"1995/07/27"</f>
        <v>1995/07/27</v>
      </c>
      <c r="I1292" s="6">
        <v>49800</v>
      </c>
      <c r="J1292" s="8">
        <v>1000</v>
      </c>
      <c r="K1292" s="4" t="str">
        <f>"1  和書"</f>
        <v>1  和書</v>
      </c>
      <c r="L1292" s="7"/>
    </row>
    <row r="1293" spans="1:12" ht="36" x14ac:dyDescent="0.15">
      <c r="A1293" s="36">
        <v>1292</v>
      </c>
      <c r="B1293" s="3" t="s">
        <v>64</v>
      </c>
      <c r="C1293" s="10" t="str">
        <f>"0002006833"</f>
        <v>0002006833</v>
      </c>
      <c r="D1293" s="11" t="str">
        <f>"水・物質循環系の変化 / 和田英太郎, 安成哲三編 ; 半田暢彦 [ほか執筆].-- 岩波書店; 1999.2.-- (岩波講座地球環境学 / 高橋裕 [ほか] 編 ; 4)."</f>
        <v>水・物質循環系の変化 / 和田英太郎, 安成哲三編 ; 半田暢彦 [ほか執筆].-- 岩波書店; 1999.2.-- (岩波講座地球環境学 / 高橋裕 [ほか] 編 ; 4).</v>
      </c>
      <c r="E1293" s="10" t="str">
        <f>""</f>
        <v/>
      </c>
      <c r="F1293" s="28" t="s">
        <v>8</v>
      </c>
      <c r="G1293" s="29" t="str">
        <f>"519/ｲﾜ/4"</f>
        <v>519/ｲﾜ/4</v>
      </c>
      <c r="H1293" s="10" t="str">
        <f>"1999/03/31"</f>
        <v>1999/03/31</v>
      </c>
      <c r="I1293" s="12">
        <v>3263</v>
      </c>
      <c r="J1293" s="12">
        <v>100</v>
      </c>
      <c r="K1293" s="10" t="str">
        <f t="shared" si="68"/>
        <v>1  和書</v>
      </c>
      <c r="L1293" s="13"/>
    </row>
    <row r="1294" spans="1:12" ht="24" x14ac:dyDescent="0.15">
      <c r="A1294" s="36">
        <v>1293</v>
      </c>
      <c r="B1294" s="3" t="s">
        <v>64</v>
      </c>
      <c r="C1294" s="10" t="str">
        <f>"0000576765"</f>
        <v>0000576765</v>
      </c>
      <c r="D1294" s="11" t="str">
        <f>"子どもと環境教育 / 阿部治責任編集.-- 東海大学出版会; 1993.7.-- (環境教育シリーズ / 大来佐武郎, 松前達郎監修 ; 1)."</f>
        <v>子どもと環境教育 / 阿部治責任編集.-- 東海大学出版会; 1993.7.-- (環境教育シリーズ / 大来佐武郎, 松前達郎監修 ; 1).</v>
      </c>
      <c r="E1294" s="10" t="str">
        <f>""</f>
        <v/>
      </c>
      <c r="F1294" s="28" t="s">
        <v>8</v>
      </c>
      <c r="G1294" s="29" t="str">
        <f>"519/ｶﾝ/1"</f>
        <v>519/ｶﾝ/1</v>
      </c>
      <c r="H1294" s="10" t="str">
        <f>"1995/03/31"</f>
        <v>1995/03/31</v>
      </c>
      <c r="I1294" s="12">
        <v>2344</v>
      </c>
      <c r="J1294" s="12">
        <v>100</v>
      </c>
      <c r="K1294" s="10" t="str">
        <f t="shared" si="68"/>
        <v>1  和書</v>
      </c>
      <c r="L1294" s="13"/>
    </row>
    <row r="1295" spans="1:12" ht="24" x14ac:dyDescent="0.15">
      <c r="A1295" s="36">
        <v>1294</v>
      </c>
      <c r="B1295" s="3" t="s">
        <v>64</v>
      </c>
      <c r="C1295" s="10" t="str">
        <f>"0002271095"</f>
        <v>0002271095</v>
      </c>
      <c r="D1295" s="11" t="str">
        <f>"環境経済学入門 / C.D.コルスタッド著 ; 細江守紀, 藤田敏之監訳.-- 有斐閣; 2001.7."</f>
        <v>環境経済学入門 / C.D.コルスタッド著 ; 細江守紀, 藤田敏之監訳.-- 有斐閣; 2001.7.</v>
      </c>
      <c r="E1295" s="10" t="str">
        <f>""</f>
        <v/>
      </c>
      <c r="F1295" s="28" t="s">
        <v>8</v>
      </c>
      <c r="G1295" s="29" t="str">
        <f>"519/ｺﾙ"</f>
        <v>519/ｺﾙ</v>
      </c>
      <c r="H1295" s="10" t="str">
        <f>"2001/08/07"</f>
        <v>2001/08/07</v>
      </c>
      <c r="I1295" s="12">
        <v>3213</v>
      </c>
      <c r="J1295" s="12">
        <v>100</v>
      </c>
      <c r="K1295" s="10" t="str">
        <f t="shared" si="68"/>
        <v>1  和書</v>
      </c>
      <c r="L1295" s="13"/>
    </row>
    <row r="1296" spans="1:12" ht="24" x14ac:dyDescent="0.15">
      <c r="A1296" s="36">
        <v>1295</v>
      </c>
      <c r="B1296" s="3" t="s">
        <v>64</v>
      </c>
      <c r="C1296" s="4" t="str">
        <f>"0001054613"</f>
        <v>0001054613</v>
      </c>
      <c r="D1296" s="5" t="str">
        <f>"エコマネジメント入門 : 地球環境時代の処方箋 / 鈴木邦雄著.-- 有斐閣; 1991.2.-- (有斐閣選書 ; [494])."</f>
        <v>エコマネジメント入門 : 地球環境時代の処方箋 / 鈴木邦雄著.-- 有斐閣; 1991.2.-- (有斐閣選書 ; [494]).</v>
      </c>
      <c r="E1296" s="4" t="str">
        <f>""</f>
        <v/>
      </c>
      <c r="F1296" s="26"/>
      <c r="G1296" s="27" t="str">
        <f>"519/ｽｽﾞ"</f>
        <v>519/ｽｽﾞ</v>
      </c>
      <c r="H1296" s="4" t="str">
        <f>"1996/03/29"</f>
        <v>1996/03/29</v>
      </c>
      <c r="I1296" s="6">
        <v>1285</v>
      </c>
      <c r="J1296" s="6">
        <v>100</v>
      </c>
      <c r="K1296" s="4" t="str">
        <f t="shared" si="68"/>
        <v>1  和書</v>
      </c>
      <c r="L1296" s="7"/>
    </row>
    <row r="1297" spans="1:12" ht="22.5" x14ac:dyDescent="0.15">
      <c r="A1297" s="36">
        <v>1296</v>
      </c>
      <c r="B1297" s="3" t="s">
        <v>64</v>
      </c>
      <c r="C1297" s="10" t="str">
        <f>"0000967761"</f>
        <v>0000967761</v>
      </c>
      <c r="D1297" s="11" t="str">
        <f>"開発と環境 : 共生の原理を求めて / 中島正博著.-- 渓水社; 1996.4."</f>
        <v>開発と環境 : 共生の原理を求めて / 中島正博著.-- 渓水社; 1996.4.</v>
      </c>
      <c r="E1297" s="10" t="str">
        <f>""</f>
        <v/>
      </c>
      <c r="F1297" s="28" t="s">
        <v>8</v>
      </c>
      <c r="G1297" s="29" t="str">
        <f>"519/ﾅｶ"</f>
        <v>519/ﾅｶ</v>
      </c>
      <c r="H1297" s="10" t="str">
        <f>"1996/09/20"</f>
        <v>1996/09/20</v>
      </c>
      <c r="I1297" s="12">
        <v>3020</v>
      </c>
      <c r="J1297" s="12">
        <v>100</v>
      </c>
      <c r="K1297" s="10" t="str">
        <f t="shared" si="68"/>
        <v>1  和書</v>
      </c>
      <c r="L1297" s="13"/>
    </row>
    <row r="1298" spans="1:12" ht="48" x14ac:dyDescent="0.15">
      <c r="A1298" s="36">
        <v>1297</v>
      </c>
      <c r="B1298" s="3" t="s">
        <v>64</v>
      </c>
      <c r="C1298" s="10" t="str">
        <f>"0000958271"</f>
        <v>0000958271</v>
      </c>
      <c r="D1298" s="11" t="str">
        <f>"豊饒の裏にひそむ危機 / 大来佐武郎監修 ; 橋本道夫 [ほか] 編.-- 中央法規出版; 1990.10.-- (講座[地球環境] / 大来佐武郎監修 ; 橋本道夫 [ほか] 編 ; 第1巻 . 地球規模の環境問題||チキュウ キボ ノ カンキョウ モンダイ ; 1)."</f>
        <v>豊饒の裏にひそむ危機 / 大来佐武郎監修 ; 橋本道夫 [ほか] 編.-- 中央法規出版; 1990.10.-- (講座[地球環境] / 大来佐武郎監修 ; 橋本道夫 [ほか] 編 ; 第1巻 . 地球規模の環境問題||チキュウ キボ ノ カンキョウ モンダイ ; 1).</v>
      </c>
      <c r="E1298" s="10" t="str">
        <f>""</f>
        <v/>
      </c>
      <c r="F1298" s="28" t="s">
        <v>8</v>
      </c>
      <c r="G1298" s="29" t="str">
        <f>"519/ﾊｼ/1"</f>
        <v>519/ﾊｼ/1</v>
      </c>
      <c r="H1298" s="10" t="str">
        <f>"1996/07/12"</f>
        <v>1996/07/12</v>
      </c>
      <c r="I1298" s="12">
        <v>3150</v>
      </c>
      <c r="J1298" s="12">
        <v>100</v>
      </c>
      <c r="K1298" s="10" t="str">
        <f t="shared" si="68"/>
        <v>1  和書</v>
      </c>
      <c r="L1298" s="13"/>
    </row>
    <row r="1299" spans="1:12" ht="48" x14ac:dyDescent="0.15">
      <c r="A1299" s="36">
        <v>1298</v>
      </c>
      <c r="B1299" s="3" t="s">
        <v>64</v>
      </c>
      <c r="C1299" s="10" t="str">
        <f>"0000958295"</f>
        <v>0000958295</v>
      </c>
      <c r="D1299" s="11" t="str">
        <f>"貧しさから生じる資源の枯渇 / 大来佐武郎監修 ; 橋本道夫 [ほか] 編.-- 中央法規出版; 1990.8.-- (講座[地球環境] / 大来佐武郎監修 ; 橋本道夫 [ほか] 編 ; 第2巻 . 地球規模の環境問題||チキュウ キボ ノ カンキョウ モンダイ ; 2)."</f>
        <v>貧しさから生じる資源の枯渇 / 大来佐武郎監修 ; 橋本道夫 [ほか] 編.-- 中央法規出版; 1990.8.-- (講座[地球環境] / 大来佐武郎監修 ; 橋本道夫 [ほか] 編 ; 第2巻 . 地球規模の環境問題||チキュウ キボ ノ カンキョウ モンダイ ; 2).</v>
      </c>
      <c r="E1299" s="10" t="str">
        <f>""</f>
        <v/>
      </c>
      <c r="F1299" s="28" t="s">
        <v>8</v>
      </c>
      <c r="G1299" s="29" t="str">
        <f>"519/ﾊｼ/2"</f>
        <v>519/ﾊｼ/2</v>
      </c>
      <c r="H1299" s="10" t="str">
        <f>"1996/07/12"</f>
        <v>1996/07/12</v>
      </c>
      <c r="I1299" s="12">
        <v>3150</v>
      </c>
      <c r="J1299" s="12">
        <v>100</v>
      </c>
      <c r="K1299" s="10" t="str">
        <f t="shared" si="68"/>
        <v>1  和書</v>
      </c>
      <c r="L1299" s="13"/>
    </row>
    <row r="1300" spans="1:12" ht="36" x14ac:dyDescent="0.15">
      <c r="A1300" s="36">
        <v>1299</v>
      </c>
      <c r="B1300" s="3" t="s">
        <v>64</v>
      </c>
      <c r="C1300" s="10" t="str">
        <f>"0000958318"</f>
        <v>0000958318</v>
      </c>
      <c r="D1300" s="11" t="str">
        <f>"地球環境と経済 : 地球環境保全型経済システムをめざして / 大来佐武郎監修 ; 橋本道夫 [ほか] 編.-- 中央法規出版; 1990.9.-- (講座[地球環境] / 大来佐武郎監修 ; 橋本道夫 [ほか] 編 ; 第3巻)."</f>
        <v>地球環境と経済 : 地球環境保全型経済システムをめざして / 大来佐武郎監修 ; 橋本道夫 [ほか] 編.-- 中央法規出版; 1990.9.-- (講座[地球環境] / 大来佐武郎監修 ; 橋本道夫 [ほか] 編 ; 第3巻).</v>
      </c>
      <c r="E1300" s="10" t="str">
        <f>""</f>
        <v/>
      </c>
      <c r="F1300" s="28" t="s">
        <v>8</v>
      </c>
      <c r="G1300" s="29" t="str">
        <f>"519/ﾊｼ/3"</f>
        <v>519/ﾊｼ/3</v>
      </c>
      <c r="H1300" s="10" t="str">
        <f>"1996/07/12"</f>
        <v>1996/07/12</v>
      </c>
      <c r="I1300" s="12">
        <v>3150</v>
      </c>
      <c r="J1300" s="12">
        <v>100</v>
      </c>
      <c r="K1300" s="10" t="str">
        <f t="shared" si="68"/>
        <v>1  和書</v>
      </c>
      <c r="L1300" s="13"/>
    </row>
    <row r="1301" spans="1:12" ht="48" x14ac:dyDescent="0.15">
      <c r="A1301" s="36">
        <v>1300</v>
      </c>
      <c r="B1301" s="3" t="s">
        <v>64</v>
      </c>
      <c r="C1301" s="10" t="str">
        <f>"0000958325"</f>
        <v>0000958325</v>
      </c>
      <c r="D1301" s="11" t="str">
        <f>"地球環境と政治 : 地球環境保全のための新たな国際協調体制の確立に向けて / 大来佐武郎監修 ; 橋本道夫 [ほか] 編.-- 中央法規出版; 1990.11.-- (講座[地球環境] / 大来佐武郎監修 ; 橋本道夫 [ほか] 編 ; 第4巻)."</f>
        <v>地球環境と政治 : 地球環境保全のための新たな国際協調体制の確立に向けて / 大来佐武郎監修 ; 橋本道夫 [ほか] 編.-- 中央法規出版; 1990.11.-- (講座[地球環境] / 大来佐武郎監修 ; 橋本道夫 [ほか] 編 ; 第4巻).</v>
      </c>
      <c r="E1301" s="10" t="str">
        <f>""</f>
        <v/>
      </c>
      <c r="F1301" s="28" t="s">
        <v>8</v>
      </c>
      <c r="G1301" s="29" t="str">
        <f>"519/ﾊｼ/4"</f>
        <v>519/ﾊｼ/4</v>
      </c>
      <c r="H1301" s="10" t="str">
        <f>"1996/07/12"</f>
        <v>1996/07/12</v>
      </c>
      <c r="I1301" s="12">
        <v>3150</v>
      </c>
      <c r="J1301" s="12">
        <v>100</v>
      </c>
      <c r="K1301" s="10" t="str">
        <f t="shared" si="68"/>
        <v>1  和書</v>
      </c>
      <c r="L1301" s="13"/>
    </row>
    <row r="1302" spans="1:12" ht="36" x14ac:dyDescent="0.15">
      <c r="A1302" s="36">
        <v>1301</v>
      </c>
      <c r="B1302" s="3" t="s">
        <v>64</v>
      </c>
      <c r="C1302" s="10" t="str">
        <f>"0000958356"</f>
        <v>0000958356</v>
      </c>
      <c r="D1302" s="11" t="str">
        <f>"地球環境と市民 : 地球にやさしいライフスタイル, 地域, 適正技術 / 大来佐武郎監修 ; 橋本道夫 [ほか] 編.-- 中央法規出版; 1990.11.-- (講座[地球環境] / 大来佐武郎監修 ; 橋本道夫 [ほか] 編 ; 第5巻)."</f>
        <v>地球環境と市民 : 地球にやさしいライフスタイル, 地域, 適正技術 / 大来佐武郎監修 ; 橋本道夫 [ほか] 編.-- 中央法規出版; 1990.11.-- (講座[地球環境] / 大来佐武郎監修 ; 橋本道夫 [ほか] 編 ; 第5巻).</v>
      </c>
      <c r="E1302" s="10" t="str">
        <f>""</f>
        <v/>
      </c>
      <c r="F1302" s="28" t="s">
        <v>8</v>
      </c>
      <c r="G1302" s="29" t="str">
        <f>"519/ﾊｼ/5"</f>
        <v>519/ﾊｼ/5</v>
      </c>
      <c r="H1302" s="10" t="str">
        <f>"1996/07/12"</f>
        <v>1996/07/12</v>
      </c>
      <c r="I1302" s="12">
        <v>3150</v>
      </c>
      <c r="J1302" s="12">
        <v>100</v>
      </c>
      <c r="K1302" s="10" t="str">
        <f t="shared" si="68"/>
        <v>1  和書</v>
      </c>
      <c r="L1302" s="13"/>
    </row>
    <row r="1303" spans="1:12" ht="22.5" x14ac:dyDescent="0.15">
      <c r="A1303" s="36">
        <v>1302</v>
      </c>
      <c r="B1303" s="3" t="s">
        <v>64</v>
      </c>
      <c r="C1303" s="10" t="str">
        <f>"0002271071"</f>
        <v>0002271071</v>
      </c>
      <c r="D1303" s="11" t="str">
        <f>"写真で見る環境問題 / 長谷川三雄著.-- 成文堂; 2001.2."</f>
        <v>写真で見る環境問題 / 長谷川三雄著.-- 成文堂; 2001.2.</v>
      </c>
      <c r="E1303" s="10" t="str">
        <f>""</f>
        <v/>
      </c>
      <c r="F1303" s="28" t="s">
        <v>8</v>
      </c>
      <c r="G1303" s="29" t="str">
        <f>"519/ﾊｾ"</f>
        <v>519/ﾊｾ</v>
      </c>
      <c r="H1303" s="10" t="str">
        <f>"2001/08/07"</f>
        <v>2001/08/07</v>
      </c>
      <c r="I1303" s="12">
        <v>3780</v>
      </c>
      <c r="J1303" s="12">
        <v>100</v>
      </c>
      <c r="K1303" s="10" t="str">
        <f t="shared" si="68"/>
        <v>1  和書</v>
      </c>
      <c r="L1303" s="13"/>
    </row>
    <row r="1304" spans="1:12" ht="36" x14ac:dyDescent="0.15">
      <c r="A1304" s="36">
        <v>1303</v>
      </c>
      <c r="B1304" s="3" t="s">
        <v>64</v>
      </c>
      <c r="C1304" s="4" t="str">
        <f>"0002168708"</f>
        <v>0002168708</v>
      </c>
      <c r="D1304" s="5" t="str">
        <f>"新しい里山再生法 : 市民参加型の提案 / 重松敏則著.-- 全国林業改良普及協会; 1999.3.-- (林業改良普及双書 / 全国林業改良普及協会編 ; 130)."</f>
        <v>新しい里山再生法 : 市民参加型の提案 / 重松敏則著.-- 全国林業改良普及協会; 1999.3.-- (林業改良普及双書 / 全国林業改良普及協会編 ; 130).</v>
      </c>
      <c r="E1304" s="4" t="str">
        <f>""</f>
        <v/>
      </c>
      <c r="F1304" s="26"/>
      <c r="G1304" s="27" t="str">
        <f>"519.81/ｼｹﾞ"</f>
        <v>519.81/ｼｹﾞ</v>
      </c>
      <c r="H1304" s="4" t="str">
        <f>"2000/09/13"</f>
        <v>2000/09/13</v>
      </c>
      <c r="I1304" s="6">
        <v>871</v>
      </c>
      <c r="J1304" s="6">
        <v>100</v>
      </c>
      <c r="K1304" s="4" t="str">
        <f t="shared" si="68"/>
        <v>1  和書</v>
      </c>
      <c r="L1304" s="7"/>
    </row>
    <row r="1305" spans="1:12" ht="22.5" x14ac:dyDescent="0.15">
      <c r="A1305" s="36">
        <v>1304</v>
      </c>
      <c r="B1305" s="3" t="s">
        <v>64</v>
      </c>
      <c r="C1305" s="4" t="str">
        <f>"0002630281"</f>
        <v>0002630281</v>
      </c>
      <c r="D1305" s="5" t="str">
        <f>"里山再生 / 田中淳夫著.-- 洋泉社; 2003.2.-- (新書y ; 081)."</f>
        <v>里山再生 / 田中淳夫著.-- 洋泉社; 2003.2.-- (新書y ; 081).</v>
      </c>
      <c r="E1305" s="4" t="str">
        <f>""</f>
        <v/>
      </c>
      <c r="F1305" s="26"/>
      <c r="G1305" s="27" t="str">
        <f>"519.81/ﾀﾅ"</f>
        <v>519.81/ﾀﾅ</v>
      </c>
      <c r="H1305" s="4" t="str">
        <f>"2003/05/13"</f>
        <v>2003/05/13</v>
      </c>
      <c r="I1305" s="6">
        <v>699</v>
      </c>
      <c r="J1305" s="6">
        <v>100</v>
      </c>
      <c r="K1305" s="4" t="str">
        <f t="shared" si="68"/>
        <v>1  和書</v>
      </c>
      <c r="L1305" s="7"/>
    </row>
    <row r="1306" spans="1:12" ht="24" x14ac:dyDescent="0.15">
      <c r="A1306" s="36">
        <v>1305</v>
      </c>
      <c r="B1306" s="3" t="s">
        <v>65</v>
      </c>
      <c r="C1306" s="4" t="str">
        <f>"0002682242"</f>
        <v>0002682242</v>
      </c>
      <c r="D1306" s="5" t="str">
        <f>"プラハを歩く / 田中充子著.-- 岩波書店; 2001.11.-- (岩波新書 ; 新赤版 757)."</f>
        <v>プラハを歩く / 田中充子著.-- 岩波書店; 2001.11.-- (岩波新書 ; 新赤版 757).</v>
      </c>
      <c r="E1306" s="4" t="str">
        <f>""</f>
        <v/>
      </c>
      <c r="F1306" s="26"/>
      <c r="G1306" s="27" t="str">
        <f>"523.34/ﾀﾅ"</f>
        <v>523.34/ﾀﾅ</v>
      </c>
      <c r="H1306" s="4" t="str">
        <f>"2005/03/03"</f>
        <v>2005/03/03</v>
      </c>
      <c r="I1306" s="6">
        <v>699</v>
      </c>
      <c r="J1306" s="6">
        <v>100</v>
      </c>
      <c r="K1306" s="4" t="str">
        <f t="shared" si="68"/>
        <v>1  和書</v>
      </c>
      <c r="L1306" s="7"/>
    </row>
    <row r="1307" spans="1:12" ht="36" x14ac:dyDescent="0.15">
      <c r="A1307" s="36">
        <v>1306</v>
      </c>
      <c r="B1307" s="3" t="s">
        <v>66</v>
      </c>
      <c r="C1307" s="10" t="str">
        <f>"0003908686"</f>
        <v>0003908686</v>
      </c>
      <c r="D1307" s="11" t="str">
        <f>"宇宙開発戦争 : 「ミサイル防衛」と「宇宙ビジネス」の最前線 / ヘレン・カルディコット, クレイグ・アイゼンドラス著 ; 植田那美, 益岡賢訳.-- 作品社; 2009.4."</f>
        <v>宇宙開発戦争 : 「ミサイル防衛」と「宇宙ビジネス」の最前線 / ヘレン・カルディコット, クレイグ・アイゼンドラス著 ; 植田那美, 益岡賢訳.-- 作品社; 2009.4.</v>
      </c>
      <c r="E1307" s="10" t="str">
        <f>""</f>
        <v/>
      </c>
      <c r="F1307" s="28" t="s">
        <v>8</v>
      </c>
      <c r="G1307" s="29" t="str">
        <f>"538.9/ｶﾙ"</f>
        <v>538.9/ｶﾙ</v>
      </c>
      <c r="H1307" s="10" t="str">
        <f>"2009/04/15"</f>
        <v>2009/04/15</v>
      </c>
      <c r="I1307" s="12">
        <v>2268</v>
      </c>
      <c r="J1307" s="12">
        <v>100</v>
      </c>
      <c r="K1307" s="10" t="str">
        <f t="shared" si="68"/>
        <v>1  和書</v>
      </c>
      <c r="L1307" s="13"/>
    </row>
    <row r="1308" spans="1:12" ht="24" x14ac:dyDescent="0.15">
      <c r="A1308" s="36">
        <v>1307</v>
      </c>
      <c r="B1308" s="3" t="s">
        <v>67</v>
      </c>
      <c r="C1308" s="4" t="str">
        <f>"0003269763"</f>
        <v>0003269763</v>
      </c>
      <c r="D1308" s="5" t="str">
        <f>"夢の原子力 = Atoms for dream / 吉見俊哉著.-- 筑摩書房; 2012.8.-- (ちくま新書 ; 971)."</f>
        <v>夢の原子力 = Atoms for dream / 吉見俊哉著.-- 筑摩書房; 2012.8.-- (ちくま新書 ; 971).</v>
      </c>
      <c r="E1308" s="4" t="str">
        <f>""</f>
        <v/>
      </c>
      <c r="F1308" s="26"/>
      <c r="G1308" s="27" t="str">
        <f>"539.09/ﾖｼ"</f>
        <v>539.09/ﾖｼ</v>
      </c>
      <c r="H1308" s="4" t="str">
        <f>"2013/11/28"</f>
        <v>2013/11/28</v>
      </c>
      <c r="I1308" s="6">
        <v>945</v>
      </c>
      <c r="J1308" s="6">
        <v>100</v>
      </c>
      <c r="K1308" s="4" t="str">
        <f t="shared" si="68"/>
        <v>1  和書</v>
      </c>
      <c r="L1308" s="7"/>
    </row>
    <row r="1309" spans="1:12" ht="24" x14ac:dyDescent="0.15">
      <c r="A1309" s="36">
        <v>1308</v>
      </c>
      <c r="B1309" s="3" t="s">
        <v>68</v>
      </c>
      <c r="C1309" s="4" t="str">
        <f>"0001260670"</f>
        <v>0001260670</v>
      </c>
      <c r="D1309" s="5" t="str">
        <f>"システム工学基礎論 / 木村正行著.-- 第2版.-- 丸善; 1981.-- (電子・通信・電気工学基礎講座 ; 14)."</f>
        <v>システム工学基礎論 / 木村正行著.-- 第2版.-- 丸善; 1981.-- (電子・通信・電気工学基礎講座 ; 14).</v>
      </c>
      <c r="E1309" s="4" t="str">
        <f>""</f>
        <v/>
      </c>
      <c r="F1309" s="26"/>
      <c r="G1309" s="27" t="str">
        <f>"540.8/ﾃﾞﾝ/14"</f>
        <v>540.8/ﾃﾞﾝ/14</v>
      </c>
      <c r="H1309" s="4" t="str">
        <f>"1996/01/29"</f>
        <v>1996/01/29</v>
      </c>
      <c r="I1309" s="6">
        <v>2781</v>
      </c>
      <c r="J1309" s="6">
        <v>100</v>
      </c>
      <c r="K1309" s="4" t="str">
        <f t="shared" si="68"/>
        <v>1  和書</v>
      </c>
      <c r="L1309" s="7"/>
    </row>
    <row r="1310" spans="1:12" x14ac:dyDescent="0.15">
      <c r="A1310" s="36">
        <v>1309</v>
      </c>
      <c r="B1310" s="3" t="s">
        <v>68</v>
      </c>
      <c r="C1310" s="4" t="str">
        <f>"0002288383"</f>
        <v>0002288383</v>
      </c>
      <c r="D1310" s="5" t="str">
        <f>"CAIディジタル信号処理 / 小畑秀文, 幹康共著.-- コロナ社; 1991.5."</f>
        <v>CAIディジタル信号処理 / 小畑秀文, 幹康共著.-- コロナ社; 1991.5.</v>
      </c>
      <c r="E1310" s="4" t="str">
        <f>""</f>
        <v/>
      </c>
      <c r="F1310" s="26"/>
      <c r="G1310" s="27" t="str">
        <f>"547.1/ｺﾊﾞ"</f>
        <v>547.1/ｺﾊﾞ</v>
      </c>
      <c r="H1310" s="4" t="str">
        <f>"2002/12/02"</f>
        <v>2002/12/02</v>
      </c>
      <c r="I1310" s="6">
        <v>3307</v>
      </c>
      <c r="J1310" s="6">
        <v>100</v>
      </c>
      <c r="K1310" s="4" t="str">
        <f t="shared" si="68"/>
        <v>1  和書</v>
      </c>
      <c r="L1310" s="7"/>
    </row>
    <row r="1311" spans="1:12" ht="24" x14ac:dyDescent="0.15">
      <c r="A1311" s="36">
        <v>1310</v>
      </c>
      <c r="B1311" s="3" t="s">
        <v>68</v>
      </c>
      <c r="C1311" s="4" t="str">
        <f>"0000551519"</f>
        <v>0000551519</v>
      </c>
      <c r="D1311" s="5" t="str">
        <f>"ディジタル信号処理 / 辻井重男, 鎌田一雄共著.-- 2刷.-- 昭晃堂; 1991.2.-- (ディジタル信号処理シリーズ / 辻井重男企画・編集 ; 第1巻)."</f>
        <v>ディジタル信号処理 / 辻井重男, 鎌田一雄共著.-- 2刷.-- 昭晃堂; 1991.2.-- (ディジタル信号処理シリーズ / 辻井重男企画・編集 ; 第1巻).</v>
      </c>
      <c r="E1311" s="4" t="str">
        <f>""</f>
        <v/>
      </c>
      <c r="F1311" s="26"/>
      <c r="G1311" s="27" t="str">
        <f>"547.1/ﾂｼﾞ"</f>
        <v>547.1/ﾂｼﾞ</v>
      </c>
      <c r="H1311" s="4" t="str">
        <f>"1995/03/31"</f>
        <v>1995/03/31</v>
      </c>
      <c r="I1311" s="6">
        <v>2966</v>
      </c>
      <c r="J1311" s="6">
        <v>100</v>
      </c>
      <c r="K1311" s="4" t="str">
        <f t="shared" si="68"/>
        <v>1  和書</v>
      </c>
      <c r="L1311" s="7"/>
    </row>
    <row r="1312" spans="1:12" ht="24" x14ac:dyDescent="0.15">
      <c r="A1312" s="36">
        <v>1311</v>
      </c>
      <c r="B1312" s="3" t="s">
        <v>68</v>
      </c>
      <c r="C1312" s="4" t="str">
        <f>"0001662894"</f>
        <v>0001662894</v>
      </c>
      <c r="D1312" s="5" t="str">
        <f>"ディジタル信号処理 / 辻井重男, 鎌田一雄共著.-- 2刷.-- 昭晃堂; 1991.2.-- (ディジタル信号処理シリーズ / 辻井重男企画・編集 ; 第1巻)."</f>
        <v>ディジタル信号処理 / 辻井重男, 鎌田一雄共著.-- 2刷.-- 昭晃堂; 1991.2.-- (ディジタル信号処理シリーズ / 辻井重男企画・編集 ; 第1巻).</v>
      </c>
      <c r="E1312" s="4" t="str">
        <f>""</f>
        <v/>
      </c>
      <c r="F1312" s="26"/>
      <c r="G1312" s="27" t="str">
        <f>"547.1/ﾂｼﾞ"</f>
        <v>547.1/ﾂｼﾞ</v>
      </c>
      <c r="H1312" s="4" t="str">
        <f>"1997/12/29"</f>
        <v>1997/12/29</v>
      </c>
      <c r="I1312" s="6">
        <v>3024</v>
      </c>
      <c r="J1312" s="6">
        <v>100</v>
      </c>
      <c r="K1312" s="4" t="str">
        <f t="shared" si="68"/>
        <v>1  和書</v>
      </c>
      <c r="L1312" s="7"/>
    </row>
    <row r="1313" spans="1:12" ht="24" x14ac:dyDescent="0.15">
      <c r="A1313" s="36">
        <v>1312</v>
      </c>
      <c r="B1313" s="3" t="s">
        <v>68</v>
      </c>
      <c r="C1313" s="4" t="str">
        <f>"0002288543"</f>
        <v>0002288543</v>
      </c>
      <c r="D1313" s="5" t="str">
        <f>"わかりやすいディジタル信号処理 / 辻井重男, 久保田一共著.-- オーム社; 1993.5."</f>
        <v>わかりやすいディジタル信号処理 / 辻井重男, 久保田一共著.-- オーム社; 1993.5.</v>
      </c>
      <c r="E1313" s="4" t="str">
        <f>""</f>
        <v/>
      </c>
      <c r="F1313" s="26"/>
      <c r="G1313" s="27" t="str">
        <f>"547.1/ﾂｼﾞ"</f>
        <v>547.1/ﾂｼﾞ</v>
      </c>
      <c r="H1313" s="4" t="str">
        <f>"2002/12/06"</f>
        <v>2002/12/06</v>
      </c>
      <c r="I1313" s="6">
        <v>2362</v>
      </c>
      <c r="J1313" s="6">
        <v>100</v>
      </c>
      <c r="K1313" s="4" t="str">
        <f t="shared" si="68"/>
        <v>1  和書</v>
      </c>
      <c r="L1313" s="7"/>
    </row>
    <row r="1314" spans="1:12" x14ac:dyDescent="0.15">
      <c r="A1314" s="36">
        <v>1313</v>
      </c>
      <c r="B1314" s="3" t="s">
        <v>68</v>
      </c>
      <c r="C1314" s="4" t="str">
        <f>"0001689044"</f>
        <v>0001689044</v>
      </c>
      <c r="D1314" s="5" t="str">
        <f>"信号画像処理 / 長橋宏著.-- 昭晃堂; 1998.11."</f>
        <v>信号画像処理 / 長橋宏著.-- 昭晃堂; 1998.11.</v>
      </c>
      <c r="E1314" s="4" t="str">
        <f>""</f>
        <v/>
      </c>
      <c r="F1314" s="26"/>
      <c r="G1314" s="27" t="str">
        <f>"547.1/ﾅｶﾞ"</f>
        <v>547.1/ﾅｶﾞ</v>
      </c>
      <c r="H1314" s="4" t="str">
        <f>"1999/02/12"</f>
        <v>1999/02/12</v>
      </c>
      <c r="I1314" s="6">
        <v>2646</v>
      </c>
      <c r="J1314" s="6">
        <v>100</v>
      </c>
      <c r="K1314" s="4" t="str">
        <f t="shared" si="68"/>
        <v>1  和書</v>
      </c>
      <c r="L1314" s="7"/>
    </row>
    <row r="1315" spans="1:12" x14ac:dyDescent="0.15">
      <c r="A1315" s="36">
        <v>1314</v>
      </c>
      <c r="B1315" s="3" t="s">
        <v>68</v>
      </c>
      <c r="C1315" s="4" t="str">
        <f>"0002252773"</f>
        <v>0002252773</v>
      </c>
      <c r="D1315" s="5" t="str">
        <f>"信号画像処理 / 長橋宏著.-- 昭晃堂; 1998.11."</f>
        <v>信号画像処理 / 長橋宏著.-- 昭晃堂; 1998.11.</v>
      </c>
      <c r="E1315" s="4" t="str">
        <f>""</f>
        <v/>
      </c>
      <c r="F1315" s="26"/>
      <c r="G1315" s="27" t="str">
        <f>"547.1/ﾅｶﾞ"</f>
        <v>547.1/ﾅｶﾞ</v>
      </c>
      <c r="H1315" s="4" t="str">
        <f>"2000/02/22"</f>
        <v>2000/02/22</v>
      </c>
      <c r="I1315" s="6">
        <v>2646</v>
      </c>
      <c r="J1315" s="6">
        <v>100</v>
      </c>
      <c r="K1315" s="4" t="str">
        <f t="shared" si="68"/>
        <v>1  和書</v>
      </c>
      <c r="L1315" s="7"/>
    </row>
    <row r="1316" spans="1:12" ht="24" x14ac:dyDescent="0.15">
      <c r="A1316" s="36">
        <v>1315</v>
      </c>
      <c r="B1316" s="3" t="s">
        <v>68</v>
      </c>
      <c r="C1316" s="4" t="str">
        <f>"0001699258"</f>
        <v>0001699258</v>
      </c>
      <c r="D1316" s="5" t="str">
        <f>"ウェーブレット画像解析 / 新島耕一著.-- 科学技術出版; 2000.1.-- (Waveletとその応用シリーズ)."</f>
        <v>ウェーブレット画像解析 / 新島耕一著.-- 科学技術出版; 2000.1.-- (Waveletとその応用シリーズ).</v>
      </c>
      <c r="E1316" s="4" t="str">
        <f>""</f>
        <v/>
      </c>
      <c r="F1316" s="26"/>
      <c r="G1316" s="27" t="str">
        <f>"547.1/ﾆｲ"</f>
        <v>547.1/ﾆｲ</v>
      </c>
      <c r="H1316" s="4" t="str">
        <f>"1999/11/11"</f>
        <v>1999/11/11</v>
      </c>
      <c r="I1316" s="6">
        <v>9261</v>
      </c>
      <c r="J1316" s="6">
        <v>100</v>
      </c>
      <c r="K1316" s="4" t="str">
        <f t="shared" si="68"/>
        <v>1  和書</v>
      </c>
      <c r="L1316" s="7"/>
    </row>
    <row r="1317" spans="1:12" ht="24" x14ac:dyDescent="0.15">
      <c r="A1317" s="36">
        <v>1316</v>
      </c>
      <c r="B1317" s="3" t="s">
        <v>68</v>
      </c>
      <c r="C1317" s="4" t="str">
        <f>"0002758497"</f>
        <v>0002758497</v>
      </c>
      <c r="D1317" s="5" t="str">
        <f>"ディジタル信号処理 : MATLAB対応 / 樋口龍雄, 川又政征共著.-- 昭晃堂; 2000.3."</f>
        <v>ディジタル信号処理 : MATLAB対応 / 樋口龍雄, 川又政征共著.-- 昭晃堂; 2000.3.</v>
      </c>
      <c r="E1317" s="4" t="str">
        <f>""</f>
        <v/>
      </c>
      <c r="F1317" s="26"/>
      <c r="G1317" s="27" t="str">
        <f>"547.1/ﾋｸﾞ"</f>
        <v>547.1/ﾋｸﾞ</v>
      </c>
      <c r="H1317" s="4" t="str">
        <f>"2004/12/02"</f>
        <v>2004/12/02</v>
      </c>
      <c r="I1317" s="6">
        <v>3024</v>
      </c>
      <c r="J1317" s="6">
        <v>100</v>
      </c>
      <c r="K1317" s="4" t="str">
        <f t="shared" si="68"/>
        <v>1  和書</v>
      </c>
      <c r="L1317" s="7"/>
    </row>
    <row r="1318" spans="1:12" x14ac:dyDescent="0.15">
      <c r="A1318" s="36">
        <v>1317</v>
      </c>
      <c r="B1318" s="3" t="s">
        <v>68</v>
      </c>
      <c r="C1318" s="4" t="str">
        <f>"0002752839"</f>
        <v>0002752839</v>
      </c>
      <c r="D1318" s="5" t="str">
        <f>"ディジタル信号処理工学 / 眞溪歩著.-- 昭晃堂; 2004.3."</f>
        <v>ディジタル信号処理工学 / 眞溪歩著.-- 昭晃堂; 2004.3.</v>
      </c>
      <c r="E1318" s="4" t="str">
        <f>""</f>
        <v/>
      </c>
      <c r="F1318" s="26"/>
      <c r="G1318" s="27" t="str">
        <f>"547.1/ﾏﾀ"</f>
        <v>547.1/ﾏﾀ</v>
      </c>
      <c r="H1318" s="4" t="str">
        <f>"2004/04/09"</f>
        <v>2004/04/09</v>
      </c>
      <c r="I1318" s="6">
        <v>2835</v>
      </c>
      <c r="J1318" s="6">
        <v>100</v>
      </c>
      <c r="K1318" s="4" t="str">
        <f t="shared" si="68"/>
        <v>1  和書</v>
      </c>
      <c r="L1318" s="7"/>
    </row>
    <row r="1319" spans="1:12" ht="24" x14ac:dyDescent="0.15">
      <c r="A1319" s="36">
        <v>1318</v>
      </c>
      <c r="B1319" s="3" t="s">
        <v>68</v>
      </c>
      <c r="C1319" s="4" t="str">
        <f>"0002280318"</f>
        <v>0002280318</v>
      </c>
      <c r="D1319" s="5" t="str">
        <f>"ディジタルフィルタと信号処理 / 谷萩隆嗣著.-- コロナ社; 2001.12.-- (ディジタル信号処理ライブラリー / 谷萩隆嗣企画・編集責任 ; 2)."</f>
        <v>ディジタルフィルタと信号処理 / 谷萩隆嗣著.-- コロナ社; 2001.12.-- (ディジタル信号処理ライブラリー / 谷萩隆嗣企画・編集責任 ; 2).</v>
      </c>
      <c r="E1319" s="4" t="str">
        <f>""</f>
        <v/>
      </c>
      <c r="F1319" s="26"/>
      <c r="G1319" s="27" t="str">
        <f>"547.1/ﾔﾊ"</f>
        <v>547.1/ﾔﾊ</v>
      </c>
      <c r="H1319" s="4" t="str">
        <f>"2002/02/28"</f>
        <v>2002/02/28</v>
      </c>
      <c r="I1319" s="6">
        <v>3307</v>
      </c>
      <c r="J1319" s="6">
        <v>100</v>
      </c>
      <c r="K1319" s="4" t="str">
        <f t="shared" si="68"/>
        <v>1  和書</v>
      </c>
      <c r="L1319" s="7"/>
    </row>
    <row r="1320" spans="1:12" ht="24" x14ac:dyDescent="0.15">
      <c r="A1320" s="36">
        <v>1319</v>
      </c>
      <c r="B1320" s="3" t="s">
        <v>68</v>
      </c>
      <c r="C1320" s="4" t="str">
        <f>"0002253275"</f>
        <v>0002253275</v>
      </c>
      <c r="D1320" s="5" t="str">
        <f>"Noisy information and computational complexity / Leszek Plaskota.-- Cambridge University Press; 1996."</f>
        <v>Noisy information and computational complexity / Leszek Plaskota.-- Cambridge University Press; 1996.</v>
      </c>
      <c r="E1320" s="4" t="str">
        <f>""</f>
        <v/>
      </c>
      <c r="F1320" s="26"/>
      <c r="G1320" s="27" t="str">
        <f>"547.1/PL"</f>
        <v>547.1/PL</v>
      </c>
      <c r="H1320" s="4" t="str">
        <f>"2000/04/06"</f>
        <v>2000/04/06</v>
      </c>
      <c r="I1320" s="6">
        <v>11264</v>
      </c>
      <c r="J1320" s="8">
        <v>500</v>
      </c>
      <c r="K1320" s="4" t="str">
        <f>"2  洋書"</f>
        <v>2  洋書</v>
      </c>
      <c r="L1320" s="7"/>
    </row>
    <row r="1321" spans="1:12" ht="24" x14ac:dyDescent="0.15">
      <c r="A1321" s="36">
        <v>1320</v>
      </c>
      <c r="B1321" s="3" t="s">
        <v>68</v>
      </c>
      <c r="C1321" s="10" t="str">
        <f>"0001680430"</f>
        <v>0001680430</v>
      </c>
      <c r="D1321" s="11" t="str">
        <f>"標準ATM教科書 / マルチメディア通信研究会編.-- アスキー; 1995.3.-- (ポイント図解式)."</f>
        <v>標準ATM教科書 / マルチメディア通信研究会編.-- アスキー; 1995.3.-- (ポイント図解式).</v>
      </c>
      <c r="E1321" s="10" t="str">
        <f>""</f>
        <v/>
      </c>
      <c r="F1321" s="28" t="s">
        <v>8</v>
      </c>
      <c r="G1321" s="29" t="str">
        <f>"547.2/ﾏﾙ"</f>
        <v>547.2/ﾏﾙ</v>
      </c>
      <c r="H1321" s="10" t="str">
        <f>"1998/10/20"</f>
        <v>1998/10/20</v>
      </c>
      <c r="I1321" s="12">
        <v>2660</v>
      </c>
      <c r="J1321" s="12">
        <v>100</v>
      </c>
      <c r="K1321" s="10" t="str">
        <f t="shared" si="68"/>
        <v>1  和書</v>
      </c>
      <c r="L1321" s="13"/>
    </row>
    <row r="1322" spans="1:12" ht="24" x14ac:dyDescent="0.15">
      <c r="A1322" s="36">
        <v>1321</v>
      </c>
      <c r="B1322" s="3" t="s">
        <v>68</v>
      </c>
      <c r="C1322" s="4" t="str">
        <f>"0002280301"</f>
        <v>0002280301</v>
      </c>
      <c r="D1322" s="5" t="str">
        <f>"音声情報処理 / 春日正男 [ほか] 共著.-- コロナ社; 2001.7.-- (映像情報メディア基幹技術シリーズ / 映像情報メディア学会編 ; 1)."</f>
        <v>音声情報処理 / 春日正男 [ほか] 共著.-- コロナ社; 2001.7.-- (映像情報メディア基幹技術シリーズ / 映像情報メディア学会編 ; 1).</v>
      </c>
      <c r="E1322" s="4" t="str">
        <f>""</f>
        <v/>
      </c>
      <c r="F1322" s="26"/>
      <c r="G1322" s="27" t="str">
        <f>"547.3/ｶｽ"</f>
        <v>547.3/ｶｽ</v>
      </c>
      <c r="H1322" s="4" t="str">
        <f>"2002/02/28"</f>
        <v>2002/02/28</v>
      </c>
      <c r="I1322" s="6">
        <v>3307</v>
      </c>
      <c r="J1322" s="6">
        <v>100</v>
      </c>
      <c r="K1322" s="4" t="str">
        <f t="shared" si="68"/>
        <v>1  和書</v>
      </c>
      <c r="L1322" s="7"/>
    </row>
    <row r="1323" spans="1:12" ht="24" x14ac:dyDescent="0.15">
      <c r="A1323" s="36">
        <v>1322</v>
      </c>
      <c r="B1323" s="3" t="s">
        <v>68</v>
      </c>
      <c r="C1323" s="4" t="str">
        <f>"0002280615"</f>
        <v>0002280615</v>
      </c>
      <c r="D1323" s="5" t="str">
        <f>"わかりやすいJPEG/MPEG2の技術 / 小野定康, 鈴木純司共著.-- オーム社; 2001.1."</f>
        <v>わかりやすいJPEG/MPEG2の技術 / 小野定康, 鈴木純司共著.-- オーム社; 2001.1.</v>
      </c>
      <c r="E1323" s="4" t="str">
        <f>""</f>
        <v/>
      </c>
      <c r="F1323" s="26"/>
      <c r="G1323" s="27" t="str">
        <f>"547.48/ｵﾉ"</f>
        <v>547.48/ｵﾉ</v>
      </c>
      <c r="H1323" s="4" t="str">
        <f>"2002/02/28"</f>
        <v>2002/02/28</v>
      </c>
      <c r="I1323" s="6">
        <v>2646</v>
      </c>
      <c r="J1323" s="6">
        <v>100</v>
      </c>
      <c r="K1323" s="4" t="str">
        <f t="shared" si="68"/>
        <v>1  和書</v>
      </c>
      <c r="L1323" s="7"/>
    </row>
    <row r="1324" spans="1:12" ht="24" x14ac:dyDescent="0.15">
      <c r="A1324" s="36">
        <v>1323</v>
      </c>
      <c r="B1324" s="3" t="s">
        <v>68</v>
      </c>
      <c r="C1324" s="10" t="str">
        <f>"0002285511"</f>
        <v>0002285511</v>
      </c>
      <c r="D1324" s="11" t="str">
        <f>"図解でおぼえるMew+αの使い方 : Emacs‐Lispで広がるEmacsの世界 / 神山文雄,小西健司著.-- 翔泳社; 2002.2."</f>
        <v>図解でおぼえるMew+αの使い方 : Emacs‐Lispで広がるEmacsの世界 / 神山文雄,小西健司著.-- 翔泳社; 2002.2.</v>
      </c>
      <c r="E1324" s="10" t="str">
        <f>""</f>
        <v/>
      </c>
      <c r="F1324" s="28" t="s">
        <v>8</v>
      </c>
      <c r="G1324" s="29" t="str">
        <f>"547.48/ｶﾐ"</f>
        <v>547.48/ｶﾐ</v>
      </c>
      <c r="H1324" s="10" t="str">
        <f>"2002/08/13"</f>
        <v>2002/08/13</v>
      </c>
      <c r="I1324" s="12">
        <v>2646</v>
      </c>
      <c r="J1324" s="12">
        <v>100</v>
      </c>
      <c r="K1324" s="10" t="str">
        <f t="shared" si="68"/>
        <v>1  和書</v>
      </c>
      <c r="L1324" s="13"/>
    </row>
    <row r="1325" spans="1:12" ht="24" x14ac:dyDescent="0.15">
      <c r="A1325" s="36">
        <v>1324</v>
      </c>
      <c r="B1325" s="3" t="s">
        <v>68</v>
      </c>
      <c r="C1325" s="4" t="str">
        <f>"0002782874"</f>
        <v>0002782874</v>
      </c>
      <c r="D1325" s="5" t="str">
        <f>"サーブレット&amp;JSP逆引き大全650の極意 / 川崎克巳著.-- 改訂第3版.-- 秀和システム; 2007.12."</f>
        <v>サーブレット&amp;JSP逆引き大全650の極意 / 川崎克巳著.-- 改訂第3版.-- 秀和システム; 2007.12.</v>
      </c>
      <c r="E1325" s="4" t="str">
        <f>""</f>
        <v/>
      </c>
      <c r="F1325" s="26"/>
      <c r="G1325" s="27" t="str">
        <f>"547.48/ｶﾜ"</f>
        <v>547.48/ｶﾜ</v>
      </c>
      <c r="H1325" s="4" t="str">
        <f>"2009/06/09"</f>
        <v>2009/06/09</v>
      </c>
      <c r="I1325" s="6">
        <v>3024</v>
      </c>
      <c r="J1325" s="6">
        <v>100</v>
      </c>
      <c r="K1325" s="4" t="str">
        <f t="shared" si="68"/>
        <v>1  和書</v>
      </c>
      <c r="L1325" s="7"/>
    </row>
    <row r="1326" spans="1:12" ht="24" x14ac:dyDescent="0.15">
      <c r="A1326" s="36">
        <v>1325</v>
      </c>
      <c r="B1326" s="3" t="s">
        <v>68</v>
      </c>
      <c r="C1326" s="4" t="str">
        <f>"0002782881"</f>
        <v>0002782881</v>
      </c>
      <c r="D1326" s="5" t="str">
        <f>"サーブレット&amp;JSP逆引き大全650の極意 / 川崎克巳著.-- 改訂第3版.-- 秀和システム; 2007.12."</f>
        <v>サーブレット&amp;JSP逆引き大全650の極意 / 川崎克巳著.-- 改訂第3版.-- 秀和システム; 2007.12.</v>
      </c>
      <c r="E1326" s="4" t="str">
        <f>""</f>
        <v/>
      </c>
      <c r="F1326" s="26"/>
      <c r="G1326" s="27" t="str">
        <f>"547.48/ｶﾜ"</f>
        <v>547.48/ｶﾜ</v>
      </c>
      <c r="H1326" s="4" t="str">
        <f>"2009/06/09"</f>
        <v>2009/06/09</v>
      </c>
      <c r="I1326" s="6">
        <v>3024</v>
      </c>
      <c r="J1326" s="6">
        <v>100</v>
      </c>
      <c r="K1326" s="4" t="str">
        <f t="shared" si="68"/>
        <v>1  和書</v>
      </c>
      <c r="L1326" s="7"/>
    </row>
    <row r="1327" spans="1:12" ht="24" x14ac:dyDescent="0.15">
      <c r="A1327" s="36">
        <v>1326</v>
      </c>
      <c r="B1327" s="3" t="s">
        <v>68</v>
      </c>
      <c r="C1327" s="4" t="str">
        <f>"0001287578"</f>
        <v>0001287578</v>
      </c>
      <c r="D1327" s="5" t="str">
        <f>"インターネットはからっぽの洞窟 / クリフォード・ストール著 ; 倉骨彰訳.-- 草思社; 1997.1."</f>
        <v>インターネットはからっぽの洞窟 / クリフォード・ストール著 ; 倉骨彰訳.-- 草思社; 1997.1.</v>
      </c>
      <c r="E1327" s="4" t="str">
        <f>""</f>
        <v/>
      </c>
      <c r="F1327" s="26"/>
      <c r="G1327" s="27" t="str">
        <f>"547.48/ｽﾄ"</f>
        <v>547.48/ｽﾄ</v>
      </c>
      <c r="H1327" s="4" t="str">
        <f>"1997/04/07"</f>
        <v>1997/04/07</v>
      </c>
      <c r="I1327" s="6">
        <v>2079</v>
      </c>
      <c r="J1327" s="6">
        <v>100</v>
      </c>
      <c r="K1327" s="4" t="str">
        <f t="shared" si="68"/>
        <v>1  和書</v>
      </c>
      <c r="L1327" s="7"/>
    </row>
    <row r="1328" spans="1:12" ht="24" x14ac:dyDescent="0.15">
      <c r="A1328" s="36">
        <v>1327</v>
      </c>
      <c r="B1328" s="3" t="s">
        <v>68</v>
      </c>
      <c r="C1328" s="4" t="str">
        <f>"0001864069"</f>
        <v>0001864069</v>
      </c>
      <c r="D1328" s="5" t="str">
        <f>"未来地球からのメール : 21世紀のデジタル社会を生き抜く新常識 / エスター・ダイソン著 ; 吉岡正晴訳.-- 集英社; 1998.7."</f>
        <v>未来地球からのメール : 21世紀のデジタル社会を生き抜く新常識 / エスター・ダイソン著 ; 吉岡正晴訳.-- 集英社; 1998.7.</v>
      </c>
      <c r="E1328" s="4" t="str">
        <f>""</f>
        <v/>
      </c>
      <c r="F1328" s="26"/>
      <c r="G1328" s="27" t="str">
        <f>"547.48/ﾀﾞｲ"</f>
        <v>547.48/ﾀﾞｲ</v>
      </c>
      <c r="H1328" s="4" t="str">
        <f>"1999/03/15"</f>
        <v>1999/03/15</v>
      </c>
      <c r="I1328" s="6">
        <v>2646</v>
      </c>
      <c r="J1328" s="6">
        <v>100</v>
      </c>
      <c r="K1328" s="4" t="str">
        <f t="shared" si="68"/>
        <v>1  和書</v>
      </c>
      <c r="L1328" s="7"/>
    </row>
    <row r="1329" spans="1:12" ht="24" x14ac:dyDescent="0.15">
      <c r="A1329" s="36">
        <v>1328</v>
      </c>
      <c r="B1329" s="3" t="s">
        <v>68</v>
      </c>
      <c r="C1329" s="10" t="str">
        <f>"0002252094"</f>
        <v>0002252094</v>
      </c>
      <c r="D1329" s="11" t="str">
        <f>"PC-UNIXのWWW-DB連携プログラミング : PostgreSQL,OpenZOLARによるWebアプリケーション開発 : Linux/FreeBSD / 中嶋睦月著.-- 日経BP社."</f>
        <v>PC-UNIXのWWW-DB連携プログラミング : PostgreSQL,OpenZOLARによるWebアプリケーション開発 : Linux/FreeBSD / 中嶋睦月著.-- 日経BP社.</v>
      </c>
      <c r="E1329" s="10" t="str">
        <f>""</f>
        <v/>
      </c>
      <c r="F1329" s="28" t="s">
        <v>8</v>
      </c>
      <c r="G1329" s="29" t="str">
        <f>"547.48/ﾅｶ"</f>
        <v>547.48/ﾅｶ</v>
      </c>
      <c r="H1329" s="10" t="str">
        <f>"2000/01/24"</f>
        <v>2000/01/24</v>
      </c>
      <c r="I1329" s="12">
        <v>2268</v>
      </c>
      <c r="J1329" s="12">
        <v>100</v>
      </c>
      <c r="K1329" s="10" t="str">
        <f t="shared" si="68"/>
        <v>1  和書</v>
      </c>
      <c r="L1329" s="13"/>
    </row>
    <row r="1330" spans="1:12" ht="24" x14ac:dyDescent="0.15">
      <c r="A1330" s="36">
        <v>1329</v>
      </c>
      <c r="B1330" s="3" t="s">
        <v>68</v>
      </c>
      <c r="C1330" s="10" t="str">
        <f>"0001277838"</f>
        <v>0001277838</v>
      </c>
      <c r="D1330" s="11" t="str">
        <f>"TCP/IPネットワーク管理 : UNIXシステム管理者のための / Craig Hunt著 ; 坂本真訳.-- インターナショナル・トムソン・パブリッシング・ジャパン."</f>
        <v>TCP/IPネットワーク管理 : UNIXシステム管理者のための / Craig Hunt著 ; 坂本真訳.-- インターナショナル・トムソン・パブリッシング・ジャパン.</v>
      </c>
      <c r="E1330" s="10" t="str">
        <f>""</f>
        <v/>
      </c>
      <c r="F1330" s="28" t="s">
        <v>8</v>
      </c>
      <c r="G1330" s="29" t="str">
        <f>"547.48/ﾊﾝ"</f>
        <v>547.48/ﾊﾝ</v>
      </c>
      <c r="H1330" s="10" t="str">
        <f>"1996/10/01"</f>
        <v>1996/10/01</v>
      </c>
      <c r="I1330" s="12">
        <v>4230</v>
      </c>
      <c r="J1330" s="12">
        <v>100</v>
      </c>
      <c r="K1330" s="10" t="str">
        <f t="shared" si="68"/>
        <v>1  和書</v>
      </c>
      <c r="L1330" s="13"/>
    </row>
    <row r="1331" spans="1:12" ht="36" x14ac:dyDescent="0.15">
      <c r="A1331" s="36">
        <v>1330</v>
      </c>
      <c r="B1331" s="3" t="s">
        <v>68</v>
      </c>
      <c r="C1331" s="10" t="str">
        <f>"0001698626"</f>
        <v>0001698626</v>
      </c>
      <c r="D1331" s="11" t="str">
        <f>"CodeWarriorによるMacintosh Javaプログラミング / バリー・ブーン, デーブ・マーク著 ; 滝沢徹, 牧野祐子訳.-- アジソン・ウェスレイ・パブリッシャーズ・ジャパン.-- (アジソン・ウェスレイJavaシリーズ ; 2)."</f>
        <v>CodeWarriorによるMacintosh Javaプログラミング / バリー・ブーン, デーブ・マーク著 ; 滝沢徹, 牧野祐子訳.-- アジソン・ウェスレイ・パブリッシャーズ・ジャパン.-- (アジソン・ウェスレイJavaシリーズ ; 2).</v>
      </c>
      <c r="E1331" s="10" t="str">
        <f>""</f>
        <v/>
      </c>
      <c r="F1331" s="28" t="s">
        <v>8</v>
      </c>
      <c r="G1331" s="29" t="str">
        <f>"547.48/ﾌﾞﾝ"</f>
        <v>547.48/ﾌﾞﾝ</v>
      </c>
      <c r="H1331" s="10" t="str">
        <f>"1999/10/29"</f>
        <v>1999/10/29</v>
      </c>
      <c r="I1331" s="12">
        <v>4403</v>
      </c>
      <c r="J1331" s="12">
        <v>100</v>
      </c>
      <c r="K1331" s="10" t="str">
        <f t="shared" si="68"/>
        <v>1  和書</v>
      </c>
      <c r="L1331" s="13"/>
    </row>
    <row r="1332" spans="1:12" ht="24" x14ac:dyDescent="0.15">
      <c r="A1332" s="36">
        <v>1331</v>
      </c>
      <c r="B1332" s="3" t="s">
        <v>68</v>
      </c>
      <c r="C1332" s="4" t="str">
        <f>"0002280851"</f>
        <v>0002280851</v>
      </c>
      <c r="D1332" s="5" t="str">
        <f>"マスタリングTCP/IP / 竹下隆史 [ほか] 共著 ; 入門編.-- 第3版.-- オーム社; 2002.2."</f>
        <v>マスタリングTCP/IP / 竹下隆史 [ほか] 共著 ; 入門編.-- 第3版.-- オーム社; 2002.2.</v>
      </c>
      <c r="E1332" s="4" t="str">
        <f>"入門編"</f>
        <v>入門編</v>
      </c>
      <c r="F1332" s="26"/>
      <c r="G1332" s="27" t="str">
        <f>"547.48/ﾏｽ"</f>
        <v>547.48/ﾏｽ</v>
      </c>
      <c r="H1332" s="4" t="str">
        <f>"2002/03/12"</f>
        <v>2002/03/12</v>
      </c>
      <c r="I1332" s="6">
        <v>2079</v>
      </c>
      <c r="J1332" s="6">
        <v>100</v>
      </c>
      <c r="K1332" s="4" t="str">
        <f t="shared" si="68"/>
        <v>1  和書</v>
      </c>
      <c r="L1332" s="7"/>
    </row>
    <row r="1333" spans="1:12" ht="36" x14ac:dyDescent="0.15">
      <c r="A1333" s="36">
        <v>1332</v>
      </c>
      <c r="B1333" s="3" t="s">
        <v>68</v>
      </c>
      <c r="C1333" s="10" t="str">
        <f>"0001277821"</f>
        <v>0001277821</v>
      </c>
      <c r="D1333" s="11" t="str">
        <f>"マスタリングTCP/IP / 竹下隆史, 荒井透, 苅田幸雄共著 ; 入門編 - 情報セキュリティ編.-- オーム社; 1994.6-."</f>
        <v>マスタリングTCP/IP / 竹下隆史, 荒井透, 苅田幸雄共著 ; 入門編 - 情報セキュリティ編.-- オーム社; 1994.6-.</v>
      </c>
      <c r="E1333" s="11" t="str">
        <f>"インターネットワーク編"</f>
        <v>インターネットワーク編</v>
      </c>
      <c r="F1333" s="28" t="s">
        <v>8</v>
      </c>
      <c r="G1333" s="29" t="str">
        <f>"547.48/ﾏｽ"</f>
        <v>547.48/ﾏｽ</v>
      </c>
      <c r="H1333" s="10" t="str">
        <f>"1996/10/01"</f>
        <v>1996/10/01</v>
      </c>
      <c r="I1333" s="12">
        <v>2160</v>
      </c>
      <c r="J1333" s="12">
        <v>100</v>
      </c>
      <c r="K1333" s="10" t="str">
        <f t="shared" si="68"/>
        <v>1  和書</v>
      </c>
      <c r="L1333" s="13"/>
    </row>
    <row r="1334" spans="1:12" ht="24" x14ac:dyDescent="0.15">
      <c r="A1334" s="36">
        <v>1333</v>
      </c>
      <c r="B1334" s="3" t="s">
        <v>68</v>
      </c>
      <c r="C1334" s="4" t="str">
        <f>"0002782904"</f>
        <v>0002782904</v>
      </c>
      <c r="D1334" s="5" t="str">
        <f>"基礎からのサーブレットServlet/JSP / 宮本信二著.-- 改訂版.-- ソフトバンククリエイティブ; 2007.3.-- (プログラマの種シリーズ : SE必修!)."</f>
        <v>基礎からのサーブレットServlet/JSP / 宮本信二著.-- 改訂版.-- ソフトバンククリエイティブ; 2007.3.-- (プログラマの種シリーズ : SE必修!).</v>
      </c>
      <c r="E1334" s="4" t="str">
        <f>""</f>
        <v/>
      </c>
      <c r="F1334" s="26"/>
      <c r="G1334" s="27" t="str">
        <f>"547.48/ﾐﾔ"</f>
        <v>547.48/ﾐﾔ</v>
      </c>
      <c r="H1334" s="4" t="str">
        <f>"2009/06/11"</f>
        <v>2009/06/11</v>
      </c>
      <c r="I1334" s="6">
        <v>2646</v>
      </c>
      <c r="J1334" s="6">
        <v>100</v>
      </c>
      <c r="K1334" s="4" t="str">
        <f t="shared" si="68"/>
        <v>1  和書</v>
      </c>
      <c r="L1334" s="7"/>
    </row>
    <row r="1335" spans="1:12" ht="24" x14ac:dyDescent="0.15">
      <c r="A1335" s="36">
        <v>1334</v>
      </c>
      <c r="B1335" s="3" t="s">
        <v>68</v>
      </c>
      <c r="C1335" s="4" t="str">
        <f>"0002782911"</f>
        <v>0002782911</v>
      </c>
      <c r="D1335" s="5" t="str">
        <f>"基礎からのサーブレットServlet/JSP / 宮本信二著.-- 改訂版.-- ソフトバンククリエイティブ; 2007.3.-- (プログラマの種シリーズ : SE必修!)."</f>
        <v>基礎からのサーブレットServlet/JSP / 宮本信二著.-- 改訂版.-- ソフトバンククリエイティブ; 2007.3.-- (プログラマの種シリーズ : SE必修!).</v>
      </c>
      <c r="E1335" s="4" t="str">
        <f>""</f>
        <v/>
      </c>
      <c r="F1335" s="26"/>
      <c r="G1335" s="27" t="str">
        <f>"547.48/ﾐﾔ"</f>
        <v>547.48/ﾐﾔ</v>
      </c>
      <c r="H1335" s="4" t="str">
        <f>"2009/06/11"</f>
        <v>2009/06/11</v>
      </c>
      <c r="I1335" s="6">
        <v>2646</v>
      </c>
      <c r="J1335" s="6">
        <v>100</v>
      </c>
      <c r="K1335" s="4" t="str">
        <f t="shared" si="68"/>
        <v>1  和書</v>
      </c>
      <c r="L1335" s="7"/>
    </row>
    <row r="1336" spans="1:12" ht="60" x14ac:dyDescent="0.15">
      <c r="A1336" s="36">
        <v>1335</v>
      </c>
      <c r="B1336" s="3" t="s">
        <v>68</v>
      </c>
      <c r="C1336" s="10" t="str">
        <f>"0001276183"</f>
        <v>0001276183</v>
      </c>
      <c r="D1336" s="11" t="str">
        <f>"The Internet for scientists and engineers : online tools and resources / Brian J. Thomas ; : SPIE Optical Engineering Press : pbk, : IEEE Press : pbk.-- 1996 ed.-- SPIE Optical Engineering Press."</f>
        <v>The Internet for scientists and engineers : online tools and resources / Brian J. Thomas ; : SPIE Optical Engineering Press : pbk, : IEEE Press : pbk.-- 1996 ed.-- SPIE Optical Engineering Press.</v>
      </c>
      <c r="E1336" s="11" t="str">
        <f>": SPIE Optical Engineering Press : pbk"</f>
        <v>: SPIE Optical Engineering Press : pbk</v>
      </c>
      <c r="F1336" s="28" t="s">
        <v>8</v>
      </c>
      <c r="G1336" s="29" t="str">
        <f>"547.48/TH"</f>
        <v>547.48/TH</v>
      </c>
      <c r="H1336" s="10" t="str">
        <f>"1996/09/27"</f>
        <v>1996/09/27</v>
      </c>
      <c r="I1336" s="12">
        <v>5135</v>
      </c>
      <c r="J1336" s="12">
        <v>100</v>
      </c>
      <c r="K1336" s="10" t="str">
        <f>"2  洋書"</f>
        <v>2  洋書</v>
      </c>
      <c r="L1336" s="13"/>
    </row>
    <row r="1337" spans="1:12" ht="24" x14ac:dyDescent="0.15">
      <c r="A1337" s="36">
        <v>1336</v>
      </c>
      <c r="B1337" s="3" t="s">
        <v>68</v>
      </c>
      <c r="C1337" s="4" t="str">
        <f>"0002265667"</f>
        <v>0002265667</v>
      </c>
      <c r="D1337" s="5" t="str">
        <f>"画像工学概論 / 三位信夫編著 ; 北村孝司 [ほか] 著 ; 1, 2.-- 丸善; 1999.-- (画像工学シリーズ / 画像工学シリーズ編集委員会編 ; 3-4)."</f>
        <v>画像工学概論 / 三位信夫編著 ; 北村孝司 [ほか] 著 ; 1, 2.-- 丸善; 1999.-- (画像工学シリーズ / 画像工学シリーズ編集委員会編 ; 3-4).</v>
      </c>
      <c r="E1337" s="4" t="str">
        <f>"1"</f>
        <v>1</v>
      </c>
      <c r="F1337" s="26"/>
      <c r="G1337" s="27" t="str">
        <f>"547.8/ﾐｲ/1"</f>
        <v>547.8/ﾐｲ/1</v>
      </c>
      <c r="H1337" s="4" t="str">
        <f>"2001/03/14"</f>
        <v>2001/03/14</v>
      </c>
      <c r="I1337" s="6">
        <v>2740</v>
      </c>
      <c r="J1337" s="6">
        <v>100</v>
      </c>
      <c r="K1337" s="4" t="str">
        <f t="shared" si="68"/>
        <v>1  和書</v>
      </c>
      <c r="L1337" s="7"/>
    </row>
    <row r="1338" spans="1:12" ht="24" x14ac:dyDescent="0.15">
      <c r="A1338" s="36">
        <v>1337</v>
      </c>
      <c r="B1338" s="3" t="s">
        <v>68</v>
      </c>
      <c r="C1338" s="4" t="str">
        <f>"0002265650"</f>
        <v>0002265650</v>
      </c>
      <c r="D1338" s="5" t="str">
        <f>"画像工学概論 / 三位信夫編著 ; 北村孝司 [ほか] 著 ; 1, 2.-- 丸善; 1999.-- (画像工学シリーズ / 画像工学シリーズ編集委員会編 ; 3-4)."</f>
        <v>画像工学概論 / 三位信夫編著 ; 北村孝司 [ほか] 著 ; 1, 2.-- 丸善; 1999.-- (画像工学シリーズ / 画像工学シリーズ編集委員会編 ; 3-4).</v>
      </c>
      <c r="E1338" s="4" t="str">
        <f>"2"</f>
        <v>2</v>
      </c>
      <c r="F1338" s="26"/>
      <c r="G1338" s="27" t="str">
        <f>"547.8/ﾐｲ/2"</f>
        <v>547.8/ﾐｲ/2</v>
      </c>
      <c r="H1338" s="4" t="str">
        <f>"2001/03/14"</f>
        <v>2001/03/14</v>
      </c>
      <c r="I1338" s="6">
        <v>2835</v>
      </c>
      <c r="J1338" s="6">
        <v>100</v>
      </c>
      <c r="K1338" s="4" t="str">
        <f t="shared" si="68"/>
        <v>1  和書</v>
      </c>
      <c r="L1338" s="7"/>
    </row>
    <row r="1339" spans="1:12" ht="24" x14ac:dyDescent="0.15">
      <c r="A1339" s="36">
        <v>1338</v>
      </c>
      <c r="B1339" s="3" t="s">
        <v>68</v>
      </c>
      <c r="C1339" s="4" t="str">
        <f>"0002280325"</f>
        <v>0002280325</v>
      </c>
      <c r="D1339" s="5" t="str">
        <f>"画像処理工学 / 末松良一, 山田宏尚共著.-- コロナ社; 2000.10.-- (メカトロニクス教科書シリーズ / 安田仁彦 [ほか] 編集委員 ; 9)."</f>
        <v>画像処理工学 / 末松良一, 山田宏尚共著.-- コロナ社; 2000.10.-- (メカトロニクス教科書シリーズ / 安田仁彦 [ほか] 編集委員 ; 9).</v>
      </c>
      <c r="E1339" s="4" t="str">
        <f>""</f>
        <v/>
      </c>
      <c r="F1339" s="26"/>
      <c r="G1339" s="27" t="str">
        <f>"548/ｽｴ"</f>
        <v>548/ｽｴ</v>
      </c>
      <c r="H1339" s="4" t="str">
        <f>"2002/02/28"</f>
        <v>2002/02/28</v>
      </c>
      <c r="I1339" s="6">
        <v>2835</v>
      </c>
      <c r="J1339" s="6">
        <v>100</v>
      </c>
      <c r="K1339" s="4" t="str">
        <f t="shared" si="68"/>
        <v>1  和書</v>
      </c>
      <c r="L1339" s="7"/>
    </row>
    <row r="1340" spans="1:12" x14ac:dyDescent="0.15">
      <c r="A1340" s="36">
        <v>1339</v>
      </c>
      <c r="B1340" s="3" t="s">
        <v>68</v>
      </c>
      <c r="C1340" s="10" t="str">
        <f>"0000628044"</f>
        <v>0000628044</v>
      </c>
      <c r="D1340" s="11" t="str">
        <f>"コンピュータ概論 / 小迫秀夫編.-- 共立出版; 1990.10."</f>
        <v>コンピュータ概論 / 小迫秀夫編.-- 共立出版; 1990.10.</v>
      </c>
      <c r="E1340" s="10" t="str">
        <f>""</f>
        <v/>
      </c>
      <c r="F1340" s="28" t="s">
        <v>8</v>
      </c>
      <c r="G1340" s="29" t="str">
        <f>"548.2/ｺｻ"</f>
        <v>548.2/ｺｻ</v>
      </c>
      <c r="H1340" s="10" t="str">
        <f>"1995/03/31"</f>
        <v>1995/03/31</v>
      </c>
      <c r="I1340" s="12">
        <v>2226</v>
      </c>
      <c r="J1340" s="12">
        <v>100</v>
      </c>
      <c r="K1340" s="10" t="str">
        <f t="shared" si="68"/>
        <v>1  和書</v>
      </c>
      <c r="L1340" s="13"/>
    </row>
    <row r="1341" spans="1:12" x14ac:dyDescent="0.15">
      <c r="A1341" s="36">
        <v>1340</v>
      </c>
      <c r="B1341" s="3" t="s">
        <v>68</v>
      </c>
      <c r="C1341" s="10" t="str">
        <f>"0000641685"</f>
        <v>0000641685</v>
      </c>
      <c r="D1341" s="11" t="str">
        <f>"パターン理解 / 白井良明編.-- オーム社; 1987.8.-- (知識工学講座 ; 9)."</f>
        <v>パターン理解 / 白井良明編.-- オーム社; 1987.8.-- (知識工学講座 ; 9).</v>
      </c>
      <c r="E1341" s="10" t="str">
        <f>""</f>
        <v/>
      </c>
      <c r="F1341" s="28" t="s">
        <v>8</v>
      </c>
      <c r="G1341" s="29" t="str">
        <f>"548.2/ｼﾗ"</f>
        <v>548.2/ｼﾗ</v>
      </c>
      <c r="H1341" s="10" t="str">
        <f>"1995/03/31"</f>
        <v>1995/03/31</v>
      </c>
      <c r="I1341" s="12">
        <v>2547</v>
      </c>
      <c r="J1341" s="12">
        <v>100</v>
      </c>
      <c r="K1341" s="10" t="str">
        <f t="shared" si="68"/>
        <v>1  和書</v>
      </c>
      <c r="L1341" s="13"/>
    </row>
    <row r="1342" spans="1:12" ht="36" x14ac:dyDescent="0.15">
      <c r="A1342" s="36">
        <v>1341</v>
      </c>
      <c r="B1342" s="3" t="s">
        <v>68</v>
      </c>
      <c r="C1342" s="10" t="str">
        <f>"0000450829"</f>
        <v>0000450829</v>
      </c>
      <c r="D1342" s="11" t="str">
        <f>"コンピュータ・アーキテクチャ : 設計・実現・評価の定量的アプローチ / David A. Patterson, John L. Hennessy著 ; 富田眞治, 村上和彰, 新實治男訳 ; : 新装版.-- 日経BP社."</f>
        <v>コンピュータ・アーキテクチャ : 設計・実現・評価の定量的アプローチ / David A. Patterson, John L. Hennessy著 ; 富田眞治, 村上和彰, 新實治男訳 ; : 新装版.-- 日経BP社.</v>
      </c>
      <c r="E1342" s="10" t="str">
        <f>": 新装版"</f>
        <v>: 新装版</v>
      </c>
      <c r="F1342" s="28" t="s">
        <v>8</v>
      </c>
      <c r="G1342" s="29" t="str">
        <f>"548.2/ﾊﾟﾀ"</f>
        <v>548.2/ﾊﾟﾀ</v>
      </c>
      <c r="H1342" s="10" t="str">
        <f>"1994/05/17"</f>
        <v>1994/05/17</v>
      </c>
      <c r="I1342" s="12">
        <v>10800</v>
      </c>
      <c r="J1342" s="14">
        <v>500</v>
      </c>
      <c r="K1342" s="10" t="str">
        <f t="shared" si="68"/>
        <v>1  和書</v>
      </c>
      <c r="L1342" s="13"/>
    </row>
    <row r="1343" spans="1:12" ht="24" x14ac:dyDescent="0.15">
      <c r="A1343" s="36">
        <v>1342</v>
      </c>
      <c r="B1343" s="3" t="s">
        <v>68</v>
      </c>
      <c r="C1343" s="10" t="str">
        <f>"0001406047"</f>
        <v>0001406047</v>
      </c>
      <c r="D1343" s="11" t="str">
        <f>"コンピュータアーキテクチャと論理設計 / Thomas C.Bartee [著] ; 姫野俊一 [ほか] 訳 ; 1, 2.-- 丸善; 1996.3-1996.8."</f>
        <v>コンピュータアーキテクチャと論理設計 / Thomas C.Bartee [著] ; 姫野俊一 [ほか] 訳 ; 1, 2.-- 丸善; 1996.3-1996.8.</v>
      </c>
      <c r="E1343" s="10" t="str">
        <f>"1"</f>
        <v>1</v>
      </c>
      <c r="F1343" s="28" t="s">
        <v>8</v>
      </c>
      <c r="G1343" s="29" t="str">
        <f>"548.2/ﾊﾞﾃ/1"</f>
        <v>548.2/ﾊﾞﾃ/1</v>
      </c>
      <c r="H1343" s="10" t="str">
        <f>"1997/03/31"</f>
        <v>1997/03/31</v>
      </c>
      <c r="I1343" s="12">
        <v>3915</v>
      </c>
      <c r="J1343" s="12">
        <v>100</v>
      </c>
      <c r="K1343" s="10" t="str">
        <f t="shared" si="68"/>
        <v>1  和書</v>
      </c>
      <c r="L1343" s="13"/>
    </row>
    <row r="1344" spans="1:12" ht="24" x14ac:dyDescent="0.15">
      <c r="A1344" s="36">
        <v>1343</v>
      </c>
      <c r="B1344" s="3" t="s">
        <v>68</v>
      </c>
      <c r="C1344" s="4" t="str">
        <f>"0000892193"</f>
        <v>0000892193</v>
      </c>
      <c r="D1344" s="5" t="str">
        <f>"産業用ロボット言語“SLIM"" / 新井民夫 [ほか] 編集.-- 日本規格協会; 1994.9.-- (JIS使い方シリーズ)."</f>
        <v>産業用ロボット言語“SLIM" / 新井民夫 [ほか] 編集.-- 日本規格協会; 1994.9.-- (JIS使い方シリーズ).</v>
      </c>
      <c r="E1344" s="4" t="str">
        <f>""</f>
        <v/>
      </c>
      <c r="F1344" s="26"/>
      <c r="G1344" s="27" t="str">
        <f>"548.3/ｱﾗ"</f>
        <v>548.3/ｱﾗ</v>
      </c>
      <c r="H1344" s="4" t="str">
        <f>"1996/01/11"</f>
        <v>1996/01/11</v>
      </c>
      <c r="I1344" s="6">
        <v>3330</v>
      </c>
      <c r="J1344" s="6">
        <v>100</v>
      </c>
      <c r="K1344" s="4" t="str">
        <f t="shared" si="68"/>
        <v>1  和書</v>
      </c>
      <c r="L1344" s="7"/>
    </row>
    <row r="1345" spans="1:12" ht="36" x14ac:dyDescent="0.15">
      <c r="A1345" s="36">
        <v>1344</v>
      </c>
      <c r="B1345" s="3" t="s">
        <v>68</v>
      </c>
      <c r="C1345" s="4" t="str">
        <f>"0001296815"</f>
        <v>0001296815</v>
      </c>
      <c r="D1345" s="5" t="str">
        <f>"計算機制御システム : 理論と設計 / Karl J. ◆U00C5◆str◆U00F6◆m, Bj◆U00F6◆rn Wittenmark著 ; 深谷健一, 江上正, 土谷武士訳.-- 工学社; 1997.7."</f>
        <v>計算機制御システム : 理論と設計 / Karl J. ◆U00C5◆str◆U00F6◆m, Bj◆U00F6◆rn Wittenmark著 ; 深谷健一, 江上正, 土谷武士訳.-- 工学社; 1997.7.</v>
      </c>
      <c r="E1345" s="4" t="str">
        <f>""</f>
        <v/>
      </c>
      <c r="F1345" s="26"/>
      <c r="G1345" s="27" t="str">
        <f>"548.3/ｵｽ"</f>
        <v>548.3/ｵｽ</v>
      </c>
      <c r="H1345" s="4" t="str">
        <f>"1997/08/28"</f>
        <v>1997/08/28</v>
      </c>
      <c r="I1345" s="6">
        <v>6426</v>
      </c>
      <c r="J1345" s="6">
        <v>100</v>
      </c>
      <c r="K1345" s="4" t="str">
        <f t="shared" si="68"/>
        <v>1  和書</v>
      </c>
      <c r="L1345" s="7"/>
    </row>
    <row r="1346" spans="1:12" ht="24" x14ac:dyDescent="0.15">
      <c r="A1346" s="36">
        <v>1345</v>
      </c>
      <c r="B1346" s="3" t="s">
        <v>68</v>
      </c>
      <c r="C1346" s="4" t="str">
        <f>"0001285574"</f>
        <v>0001285574</v>
      </c>
      <c r="D1346" s="5" t="str">
        <f>"移動ロボット : 基礎科学と応用 / J. L. ジョンズ, A. M. フリン著 ; 熊切康雄訳.-- トッパン; 1996.2.-- (A K ピータース・トッパン数理科学シリーズ ; 5)."</f>
        <v>移動ロボット : 基礎科学と応用 / J. L. ジョンズ, A. M. フリン著 ; 熊切康雄訳.-- トッパン; 1996.2.-- (A K ピータース・トッパン数理科学シリーズ ; 5).</v>
      </c>
      <c r="E1346" s="4" t="str">
        <f>""</f>
        <v/>
      </c>
      <c r="F1346" s="26"/>
      <c r="G1346" s="27" t="str">
        <f>"548.3/ｼﾞﾖ"</f>
        <v>548.3/ｼﾞﾖ</v>
      </c>
      <c r="H1346" s="4" t="str">
        <f>"1997/02/20"</f>
        <v>1997/02/20</v>
      </c>
      <c r="I1346" s="6">
        <v>5220</v>
      </c>
      <c r="J1346" s="6">
        <v>100</v>
      </c>
      <c r="K1346" s="4" t="str">
        <f t="shared" si="68"/>
        <v>1  和書</v>
      </c>
      <c r="L1346" s="7"/>
    </row>
    <row r="1347" spans="1:12" ht="24" x14ac:dyDescent="0.15">
      <c r="A1347" s="36">
        <v>1346</v>
      </c>
      <c r="B1347" s="3" t="s">
        <v>68</v>
      </c>
      <c r="C1347" s="4" t="str">
        <f>"0001678727"</f>
        <v>0001678727</v>
      </c>
      <c r="D1347" s="5" t="str">
        <f>"移動ロボット : 基礎科学と応用 / J. L. ジョンズ, A. M. フリン著 ; 熊切康雄訳.-- トッパン; 1996.2.-- (A K ピータース・トッパン数理科学シリーズ ; 5)."</f>
        <v>移動ロボット : 基礎科学と応用 / J. L. ジョンズ, A. M. フリン著 ; 熊切康雄訳.-- トッパン; 1996.2.-- (A K ピータース・トッパン数理科学シリーズ ; 5).</v>
      </c>
      <c r="E1347" s="4" t="str">
        <f>""</f>
        <v/>
      </c>
      <c r="F1347" s="26"/>
      <c r="G1347" s="27" t="str">
        <f>"548.3/ｼﾞﾖ"</f>
        <v>548.3/ｼﾞﾖ</v>
      </c>
      <c r="H1347" s="4" t="str">
        <f>"1998/09/17"</f>
        <v>1998/09/17</v>
      </c>
      <c r="I1347" s="6">
        <v>5321</v>
      </c>
      <c r="J1347" s="6">
        <v>100</v>
      </c>
      <c r="K1347" s="4" t="str">
        <f t="shared" si="68"/>
        <v>1  和書</v>
      </c>
      <c r="L1347" s="7"/>
    </row>
    <row r="1348" spans="1:12" ht="24" x14ac:dyDescent="0.15">
      <c r="A1348" s="36">
        <v>1347</v>
      </c>
      <c r="B1348" s="3" t="s">
        <v>68</v>
      </c>
      <c r="C1348" s="4" t="str">
        <f>"0001299243"</f>
        <v>0001299243</v>
      </c>
      <c r="D1348" s="5" t="str">
        <f>"制御編 / 長谷川健介, 増田良介共著.-- 昭晃堂; 1994.8.-- (基礎ロボット工学)."</f>
        <v>制御編 / 長谷川健介, 増田良介共著.-- 昭晃堂; 1994.8.-- (基礎ロボット工学).</v>
      </c>
      <c r="E1348" s="4" t="str">
        <f>""</f>
        <v/>
      </c>
      <c r="F1348" s="26"/>
      <c r="G1348" s="27" t="str">
        <f>"548.3/ﾊｾ"</f>
        <v>548.3/ﾊｾ</v>
      </c>
      <c r="H1348" s="4" t="str">
        <f>"1997/10/24"</f>
        <v>1997/10/24</v>
      </c>
      <c r="I1348" s="6">
        <v>3685</v>
      </c>
      <c r="J1348" s="6">
        <v>100</v>
      </c>
      <c r="K1348" s="4" t="str">
        <f t="shared" si="68"/>
        <v>1  和書</v>
      </c>
      <c r="L1348" s="7"/>
    </row>
    <row r="1349" spans="1:12" ht="24" x14ac:dyDescent="0.15">
      <c r="A1349" s="36">
        <v>1348</v>
      </c>
      <c r="B1349" s="3" t="s">
        <v>68</v>
      </c>
      <c r="C1349" s="4" t="str">
        <f>"0002766751"</f>
        <v>0002766751</v>
      </c>
      <c r="D1349" s="5" t="str">
        <f>"ロボット / 新井健生監修.-- ナツメ社; 2005.5.-- (図解雑学 : 絵と文章でわかりやすい!)."</f>
        <v>ロボット / 新井健生監修.-- ナツメ社; 2005.5.-- (図解雑学 : 絵と文章でわかりやすい!).</v>
      </c>
      <c r="E1349" s="4" t="str">
        <f>""</f>
        <v/>
      </c>
      <c r="F1349" s="26"/>
      <c r="G1349" s="27" t="str">
        <f>"548.3/ﾛﾎﾞ"</f>
        <v>548.3/ﾛﾎﾞ</v>
      </c>
      <c r="H1349" s="4" t="str">
        <f>"2006/09/06"</f>
        <v>2006/09/06</v>
      </c>
      <c r="I1349" s="6">
        <v>1275</v>
      </c>
      <c r="J1349" s="6">
        <v>100</v>
      </c>
      <c r="K1349" s="4" t="str">
        <f t="shared" si="68"/>
        <v>1  和書</v>
      </c>
      <c r="L1349" s="7"/>
    </row>
    <row r="1350" spans="1:12" ht="36" x14ac:dyDescent="0.15">
      <c r="A1350" s="36">
        <v>1349</v>
      </c>
      <c r="B1350" s="3" t="s">
        <v>68</v>
      </c>
      <c r="C1350" s="4" t="str">
        <f>"0001288988"</f>
        <v>0001288988</v>
      </c>
      <c r="D1350" s="5" t="str">
        <f>"Control theory of non-linear mechanical systems : a passivity-based and circuit-theoretic approach / Suguru Arimoto.-- Clarendon Press.-- (The Oxford engineering science series ; 49)."</f>
        <v>Control theory of non-linear mechanical systems : a passivity-based and circuit-theoretic approach / Suguru Arimoto.-- Clarendon Press.-- (The Oxford engineering science series ; 49).</v>
      </c>
      <c r="E1350" s="4" t="str">
        <f>""</f>
        <v/>
      </c>
      <c r="F1350" s="26"/>
      <c r="G1350" s="27" t="str">
        <f>"548.3/AR"</f>
        <v>548.3/AR</v>
      </c>
      <c r="H1350" s="4" t="str">
        <f>"1997/04/18"</f>
        <v>1997/04/18</v>
      </c>
      <c r="I1350" s="6">
        <v>15696</v>
      </c>
      <c r="J1350" s="8">
        <v>500</v>
      </c>
      <c r="K1350" s="4" t="str">
        <f t="shared" ref="K1350:K1371" si="69">"2  洋書"</f>
        <v>2  洋書</v>
      </c>
      <c r="L1350" s="7"/>
    </row>
    <row r="1351" spans="1:12" ht="24" x14ac:dyDescent="0.15">
      <c r="A1351" s="36">
        <v>1350</v>
      </c>
      <c r="B1351" s="3" t="s">
        <v>68</v>
      </c>
      <c r="C1351" s="4" t="str">
        <f>"0001836059"</f>
        <v>0001836059</v>
      </c>
      <c r="D1351" s="5" t="str">
        <f>"Behavior-based robotics / Ronald C. Arkin.-- MIT Press; c1998.-- (Intelligent robotics and autonomous agents)."</f>
        <v>Behavior-based robotics / Ronald C. Arkin.-- MIT Press; c1998.-- (Intelligent robotics and autonomous agents).</v>
      </c>
      <c r="E1351" s="4" t="str">
        <f>""</f>
        <v/>
      </c>
      <c r="F1351" s="26"/>
      <c r="G1351" s="27" t="str">
        <f>"548.3/AR"</f>
        <v>548.3/AR</v>
      </c>
      <c r="H1351" s="4" t="str">
        <f>"1998/06/24"</f>
        <v>1998/06/24</v>
      </c>
      <c r="I1351" s="6">
        <v>11566</v>
      </c>
      <c r="J1351" s="8">
        <v>500</v>
      </c>
      <c r="K1351" s="4" t="str">
        <f t="shared" si="69"/>
        <v>2  洋書</v>
      </c>
      <c r="L1351" s="7"/>
    </row>
    <row r="1352" spans="1:12" ht="36" x14ac:dyDescent="0.15">
      <c r="A1352" s="36">
        <v>1351</v>
      </c>
      <c r="B1352" s="3" t="s">
        <v>68</v>
      </c>
      <c r="C1352" s="4" t="str">
        <f>"0001285963"</f>
        <v>0001285963</v>
      </c>
      <c r="D1352" s="5" t="str">
        <f>"Visual control of robots : high-performance visual servoing / Peter I. Corke ; : uk, : us.-- Research Studies Press.-- (Robotics and mechatronics series ; 2)."</f>
        <v>Visual control of robots : high-performance visual servoing / Peter I. Corke ; : uk, : us.-- Research Studies Press.-- (Robotics and mechatronics series ; 2).</v>
      </c>
      <c r="E1352" s="4" t="str">
        <f>": uk"</f>
        <v>: uk</v>
      </c>
      <c r="F1352" s="26"/>
      <c r="G1352" s="27" t="str">
        <f>"548.3/CO"</f>
        <v>548.3/CO</v>
      </c>
      <c r="H1352" s="4" t="str">
        <f>"1997/02/24"</f>
        <v>1997/02/24</v>
      </c>
      <c r="I1352" s="6">
        <v>13079</v>
      </c>
      <c r="J1352" s="8">
        <v>500</v>
      </c>
      <c r="K1352" s="4" t="str">
        <f t="shared" si="69"/>
        <v>2  洋書</v>
      </c>
      <c r="L1352" s="7"/>
    </row>
    <row r="1353" spans="1:12" ht="36" x14ac:dyDescent="0.15">
      <c r="A1353" s="36">
        <v>1352</v>
      </c>
      <c r="B1353" s="3" t="s">
        <v>68</v>
      </c>
      <c r="C1353" s="4" t="str">
        <f>"0000451147"</f>
        <v>0000451147</v>
      </c>
      <c r="D1353" s="5" t="str">
        <f>"Planning and control / Thomas L. Dean, Michael P. Wellman.-- M. Kaufmann; 1991.-- (The Morgan Kaufmann series in representation and reasoning)."</f>
        <v>Planning and control / Thomas L. Dean, Michael P. Wellman.-- M. Kaufmann; 1991.-- (The Morgan Kaufmann series in representation and reasoning).</v>
      </c>
      <c r="E1353" s="4" t="str">
        <f>""</f>
        <v/>
      </c>
      <c r="F1353" s="26"/>
      <c r="G1353" s="27" t="str">
        <f>"548.3/DE"</f>
        <v>548.3/DE</v>
      </c>
      <c r="H1353" s="4" t="str">
        <f>"1994/05/17"</f>
        <v>1994/05/17</v>
      </c>
      <c r="I1353" s="6">
        <v>9442</v>
      </c>
      <c r="J1353" s="6">
        <v>100</v>
      </c>
      <c r="K1353" s="4" t="str">
        <f t="shared" si="69"/>
        <v>2  洋書</v>
      </c>
      <c r="L1353" s="7"/>
    </row>
    <row r="1354" spans="1:12" ht="24" x14ac:dyDescent="0.15">
      <c r="A1354" s="36">
        <v>1353</v>
      </c>
      <c r="B1354" s="3" t="s">
        <v>68</v>
      </c>
      <c r="C1354" s="4" t="str">
        <f>"0000863902"</f>
        <v>0000863902</v>
      </c>
      <c r="D1354" s="5" t="str">
        <f>"Algorithmic foundations of robotics / edited by Ken Goldberg ... [et al.].-- A K Peters; c1995."</f>
        <v>Algorithmic foundations of robotics / edited by Ken Goldberg ... [et al.].-- A K Peters; c1995.</v>
      </c>
      <c r="E1354" s="4" t="str">
        <f>""</f>
        <v/>
      </c>
      <c r="F1354" s="26"/>
      <c r="G1354" s="27" t="str">
        <f>"548.3/GO"</f>
        <v>548.3/GO</v>
      </c>
      <c r="H1354" s="4" t="str">
        <f>"1995/07/18"</f>
        <v>1995/07/18</v>
      </c>
      <c r="I1354" s="6">
        <v>6507</v>
      </c>
      <c r="J1354" s="6">
        <v>100</v>
      </c>
      <c r="K1354" s="4" t="str">
        <f t="shared" si="69"/>
        <v>2  洋書</v>
      </c>
      <c r="L1354" s="7"/>
    </row>
    <row r="1355" spans="1:12" ht="36" x14ac:dyDescent="0.15">
      <c r="A1355" s="36">
        <v>1354</v>
      </c>
      <c r="B1355" s="3" t="s">
        <v>68</v>
      </c>
      <c r="C1355" s="4" t="str">
        <f>"0000463317"</f>
        <v>0000463317</v>
      </c>
      <c r="D1355" s="5" t="str">
        <f>"Introduction to automata theory, languages, and computation / John E. Hopcroft, Jeffrey D. Ullman.-- Addison-Wesley; c1979.-- (Addison-Wesley series in computer science)."</f>
        <v>Introduction to automata theory, languages, and computation / John E. Hopcroft, Jeffrey D. Ullman.-- Addison-Wesley; c1979.-- (Addison-Wesley series in computer science).</v>
      </c>
      <c r="E1355" s="4" t="str">
        <f>""</f>
        <v/>
      </c>
      <c r="F1355" s="26"/>
      <c r="G1355" s="27" t="str">
        <f>"548.3/HO"</f>
        <v>548.3/HO</v>
      </c>
      <c r="H1355" s="4" t="str">
        <f>"1994/05/30"</f>
        <v>1994/05/30</v>
      </c>
      <c r="I1355" s="6">
        <v>9000</v>
      </c>
      <c r="J1355" s="6">
        <v>100</v>
      </c>
      <c r="K1355" s="4" t="str">
        <f t="shared" si="69"/>
        <v>2  洋書</v>
      </c>
      <c r="L1355" s="7"/>
    </row>
    <row r="1356" spans="1:12" ht="24" x14ac:dyDescent="0.15">
      <c r="A1356" s="36">
        <v>1355</v>
      </c>
      <c r="B1356" s="3" t="s">
        <v>68</v>
      </c>
      <c r="C1356" s="4" t="str">
        <f>"0000463287"</f>
        <v>0000463287</v>
      </c>
      <c r="D1356" s="5" t="str">
        <f>"Mobile robots : inspiration to implementation / Joseph L. Jones, Anita M. Flynn.-- A.K. Peters; c1993."</f>
        <v>Mobile robots : inspiration to implementation / Joseph L. Jones, Anita M. Flynn.-- A.K. Peters; c1993.</v>
      </c>
      <c r="E1356" s="4" t="str">
        <f>""</f>
        <v/>
      </c>
      <c r="F1356" s="26"/>
      <c r="G1356" s="27" t="str">
        <f>"548.3/JO"</f>
        <v>548.3/JO</v>
      </c>
      <c r="H1356" s="4" t="str">
        <f>"1994/05/27"</f>
        <v>1994/05/27</v>
      </c>
      <c r="I1356" s="6">
        <v>6664</v>
      </c>
      <c r="J1356" s="6">
        <v>100</v>
      </c>
      <c r="K1356" s="4" t="str">
        <f t="shared" si="69"/>
        <v>2  洋書</v>
      </c>
      <c r="L1356" s="7"/>
    </row>
    <row r="1357" spans="1:12" ht="36" x14ac:dyDescent="0.15">
      <c r="A1357" s="36">
        <v>1356</v>
      </c>
      <c r="B1357" s="3" t="s">
        <v>68</v>
      </c>
      <c r="C1357" s="4" t="str">
        <f>"0001670738"</f>
        <v>0001670738</v>
      </c>
      <c r="D1357" s="5" t="str">
        <f>"Artificial intelligence and mobile robots : case studies of successful robot systems / edited by David Kortenkamp, R. Peter Bonasso, and Robin Murphy ; : pbk. : alk. paper.-- AAAI Press."</f>
        <v>Artificial intelligence and mobile robots : case studies of successful robot systems / edited by David Kortenkamp, R. Peter Bonasso, and Robin Murphy ; : pbk. : alk. paper.-- AAAI Press.</v>
      </c>
      <c r="E1357" s="5" t="str">
        <f>": pbk. : alk. paper"</f>
        <v>: pbk. : alk. paper</v>
      </c>
      <c r="F1357" s="26"/>
      <c r="G1357" s="27" t="str">
        <f>"548.3/KO"</f>
        <v>548.3/KO</v>
      </c>
      <c r="H1357" s="4" t="str">
        <f>"1998/04/21"</f>
        <v>1998/04/21</v>
      </c>
      <c r="I1357" s="6">
        <v>8291</v>
      </c>
      <c r="J1357" s="6">
        <v>100</v>
      </c>
      <c r="K1357" s="4" t="str">
        <f t="shared" si="69"/>
        <v>2  洋書</v>
      </c>
      <c r="L1357" s="7"/>
    </row>
    <row r="1358" spans="1:12" ht="36" x14ac:dyDescent="0.15">
      <c r="A1358" s="36">
        <v>1357</v>
      </c>
      <c r="B1358" s="3" t="s">
        <v>68</v>
      </c>
      <c r="C1358" s="4" t="str">
        <f>"0001674163"</f>
        <v>0001674163</v>
      </c>
      <c r="D1358" s="5" t="str">
        <f>"Artificial intelligence and mobile robots : case studies of successful robot systems / edited by David Kortenkamp, R. Peter Bonasso, and Robin Murphy ; : pbk. : alk. paper.-- AAAI Press."</f>
        <v>Artificial intelligence and mobile robots : case studies of successful robot systems / edited by David Kortenkamp, R. Peter Bonasso, and Robin Murphy ; : pbk. : alk. paper.-- AAAI Press.</v>
      </c>
      <c r="E1358" s="5" t="str">
        <f>": pbk. : alk. paper"</f>
        <v>: pbk. : alk. paper</v>
      </c>
      <c r="F1358" s="26"/>
      <c r="G1358" s="27" t="str">
        <f>"548.3/KO"</f>
        <v>548.3/KO</v>
      </c>
      <c r="H1358" s="4" t="str">
        <f>"1998/06/17"</f>
        <v>1998/06/17</v>
      </c>
      <c r="I1358" s="6">
        <v>8675</v>
      </c>
      <c r="J1358" s="6">
        <v>100</v>
      </c>
      <c r="K1358" s="4" t="str">
        <f t="shared" si="69"/>
        <v>2  洋書</v>
      </c>
      <c r="L1358" s="7"/>
    </row>
    <row r="1359" spans="1:12" ht="48" x14ac:dyDescent="0.15">
      <c r="A1359" s="36">
        <v>1358</v>
      </c>
      <c r="B1359" s="3" t="s">
        <v>68</v>
      </c>
      <c r="C1359" s="4" t="str">
        <f>"0001266108"</f>
        <v>0001266108</v>
      </c>
      <c r="D1359" s="5" t="str">
        <f>"Robot motion planning / Jean-Claude Latombe ; : hard, : pbk.-- Kluwer Academic Publishers; c1991.-- (The Kluwer international series in engineering and computer science ; SECS 124 . Robotics : vision, manipulation and sensors)."</f>
        <v>Robot motion planning / Jean-Claude Latombe ; : hard, : pbk.-- Kluwer Academic Publishers; c1991.-- (The Kluwer international series in engineering and computer science ; SECS 124 . Robotics : vision, manipulation and sensors).</v>
      </c>
      <c r="E1359" s="4" t="str">
        <f>": pbk"</f>
        <v>: pbk</v>
      </c>
      <c r="F1359" s="26"/>
      <c r="G1359" s="27" t="str">
        <f>"548.3/LA"</f>
        <v>548.3/LA</v>
      </c>
      <c r="H1359" s="4" t="str">
        <f>"1996/03/19"</f>
        <v>1996/03/19</v>
      </c>
      <c r="I1359" s="6">
        <v>12528</v>
      </c>
      <c r="J1359" s="8">
        <v>500</v>
      </c>
      <c r="K1359" s="4" t="str">
        <f t="shared" si="69"/>
        <v>2  洋書</v>
      </c>
      <c r="L1359" s="7"/>
    </row>
    <row r="1360" spans="1:12" ht="36" x14ac:dyDescent="0.15">
      <c r="A1360" s="36">
        <v>1359</v>
      </c>
      <c r="B1360" s="3" t="s">
        <v>68</v>
      </c>
      <c r="C1360" s="4" t="str">
        <f>"0001674743"</f>
        <v>0001674743</v>
      </c>
      <c r="D1360" s="5" t="str">
        <f>"Robot motion planning and control / J. -P. Laumond (ed.) ; : pbk.-- Springer; c1998.-- (Lecture notes in control and information sciences ; 229)."</f>
        <v>Robot motion planning and control / J. -P. Laumond (ed.) ; : pbk.-- Springer; c1998.-- (Lecture notes in control and information sciences ; 229).</v>
      </c>
      <c r="E1360" s="4" t="str">
        <f>": pbk"</f>
        <v>: pbk</v>
      </c>
      <c r="F1360" s="26"/>
      <c r="G1360" s="27" t="str">
        <f>"548.3/LA"</f>
        <v>548.3/LA</v>
      </c>
      <c r="H1360" s="4" t="str">
        <f>"1998/06/22"</f>
        <v>1998/06/22</v>
      </c>
      <c r="I1360" s="6">
        <v>9236</v>
      </c>
      <c r="J1360" s="6">
        <v>100</v>
      </c>
      <c r="K1360" s="4" t="str">
        <f t="shared" si="69"/>
        <v>2  洋書</v>
      </c>
      <c r="L1360" s="7"/>
    </row>
    <row r="1361" spans="1:12" ht="48" x14ac:dyDescent="0.15">
      <c r="A1361" s="36">
        <v>1360</v>
      </c>
      <c r="B1361" s="3" t="s">
        <v>68</v>
      </c>
      <c r="C1361" s="4" t="str">
        <f>"0000476348"</f>
        <v>0000476348</v>
      </c>
      <c r="D1361" s="5" t="s">
        <v>69</v>
      </c>
      <c r="E1361" s="4" t="str">
        <f>""</f>
        <v/>
      </c>
      <c r="F1361" s="26"/>
      <c r="G1361" s="27" t="str">
        <f>"548.3/LE"</f>
        <v>548.3/LE</v>
      </c>
      <c r="H1361" s="4" t="str">
        <f>"1994/08/02"</f>
        <v>1994/08/02</v>
      </c>
      <c r="I1361" s="6">
        <v>14553</v>
      </c>
      <c r="J1361" s="8">
        <v>500</v>
      </c>
      <c r="K1361" s="4" t="str">
        <f t="shared" si="69"/>
        <v>2  洋書</v>
      </c>
      <c r="L1361" s="7"/>
    </row>
    <row r="1362" spans="1:12" ht="48" x14ac:dyDescent="0.15">
      <c r="A1362" s="36">
        <v>1361</v>
      </c>
      <c r="B1362" s="3" t="s">
        <v>68</v>
      </c>
      <c r="C1362" s="4" t="str">
        <f>"0001273458"</f>
        <v>0001273458</v>
      </c>
      <c r="D1362" s="5" t="str">
        <f>"The map-building and exploration strategies of a simple sonar-equipped robot : an experimental, quantitave evaluation / David Lee ; : hc.-- Cambridge University Press; 1996.-- (Distinguished dissertations in computer science)."</f>
        <v>The map-building and exploration strategies of a simple sonar-equipped robot : an experimental, quantitave evaluation / David Lee ; : hc.-- Cambridge University Press; 1996.-- (Distinguished dissertations in computer science).</v>
      </c>
      <c r="E1362" s="4" t="str">
        <f>": hc"</f>
        <v>: hc</v>
      </c>
      <c r="F1362" s="26"/>
      <c r="G1362" s="27" t="str">
        <f>"548.3/LE"</f>
        <v>548.3/LE</v>
      </c>
      <c r="H1362" s="4" t="str">
        <f>"1996/07/24"</f>
        <v>1996/07/24</v>
      </c>
      <c r="I1362" s="6">
        <v>8074</v>
      </c>
      <c r="J1362" s="6">
        <v>100</v>
      </c>
      <c r="K1362" s="4" t="str">
        <f t="shared" si="69"/>
        <v>2  洋書</v>
      </c>
      <c r="L1362" s="7"/>
    </row>
    <row r="1363" spans="1:12" ht="36" x14ac:dyDescent="0.15">
      <c r="A1363" s="36">
        <v>1362</v>
      </c>
      <c r="B1363" s="3" t="s">
        <v>68</v>
      </c>
      <c r="C1363" s="4" t="str">
        <f>"0001267495"</f>
        <v>0001267495</v>
      </c>
      <c r="D1363" s="5" t="str">
        <f>"Design of intelligent control systems based on hierarchical stochastic automata / Pedro U. Lima, George N. Saridis.-- World Scientific; 1996.-- (Series in intelligent control and intelligent automation ; v. 2)."</f>
        <v>Design of intelligent control systems based on hierarchical stochastic automata / Pedro U. Lima, George N. Saridis.-- World Scientific; 1996.-- (Series in intelligent control and intelligent automation ; v. 2).</v>
      </c>
      <c r="E1363" s="4" t="str">
        <f>""</f>
        <v/>
      </c>
      <c r="F1363" s="26"/>
      <c r="G1363" s="27" t="str">
        <f>"548.3/LI"</f>
        <v>548.3/LI</v>
      </c>
      <c r="H1363" s="4" t="str">
        <f>"1996/04/12"</f>
        <v>1996/04/12</v>
      </c>
      <c r="I1363" s="6">
        <v>9471</v>
      </c>
      <c r="J1363" s="6">
        <v>100</v>
      </c>
      <c r="K1363" s="4" t="str">
        <f t="shared" si="69"/>
        <v>2  洋書</v>
      </c>
      <c r="L1363" s="7"/>
    </row>
    <row r="1364" spans="1:12" ht="36" x14ac:dyDescent="0.15">
      <c r="A1364" s="36">
        <v>1363</v>
      </c>
      <c r="B1364" s="3" t="s">
        <v>68</v>
      </c>
      <c r="C1364" s="4" t="str">
        <f>"0002256207"</f>
        <v>0002256207</v>
      </c>
      <c r="D1364" s="5" t="str">
        <f>"Robot hands and the mechanics of manipulation / Matthew T. Mason, J. Kenneth Salisbury, Jr.-- MIT Press; c1985.-- (The MIT Press series in artificial intelligence)."</f>
        <v>Robot hands and the mechanics of manipulation / Matthew T. Mason, J. Kenneth Salisbury, Jr.-- MIT Press; c1985.-- (The MIT Press series in artificial intelligence).</v>
      </c>
      <c r="E1364" s="4" t="str">
        <f>""</f>
        <v/>
      </c>
      <c r="F1364" s="26"/>
      <c r="G1364" s="27" t="str">
        <f>"548.3/MA"</f>
        <v>548.3/MA</v>
      </c>
      <c r="H1364" s="4" t="str">
        <f>"2000/06/21"</f>
        <v>2000/06/21</v>
      </c>
      <c r="I1364" s="6">
        <v>7740</v>
      </c>
      <c r="J1364" s="6">
        <v>100</v>
      </c>
      <c r="K1364" s="4" t="str">
        <f t="shared" si="69"/>
        <v>2  洋書</v>
      </c>
      <c r="L1364" s="7"/>
    </row>
    <row r="1365" spans="1:12" ht="36" x14ac:dyDescent="0.15">
      <c r="A1365" s="36">
        <v>1364</v>
      </c>
      <c r="B1365" s="3" t="s">
        <v>68</v>
      </c>
      <c r="C1365" s="4" t="str">
        <f>"0001280678"</f>
        <v>0001280678</v>
      </c>
      <c r="D1365" s="5" t="str">
        <f>"Perception, cognition and execution / prepared by an Open University Course team, edited by George Rzevski.-- Butterworth Heinemann.-- (Mechatronics : designing intelligent machines ; v. 1)."</f>
        <v>Perception, cognition and execution / prepared by an Open University Course team, edited by George Rzevski.-- Butterworth Heinemann.-- (Mechatronics : designing intelligent machines ; v. 1).</v>
      </c>
      <c r="E1365" s="4" t="str">
        <f>""</f>
        <v/>
      </c>
      <c r="F1365" s="26"/>
      <c r="G1365" s="27" t="str">
        <f>"548.3/ME/1"</f>
        <v>548.3/ME/1</v>
      </c>
      <c r="H1365" s="4" t="str">
        <f>"1996/11/29"</f>
        <v>1996/11/29</v>
      </c>
      <c r="I1365" s="6">
        <v>5042</v>
      </c>
      <c r="J1365" s="6">
        <v>100</v>
      </c>
      <c r="K1365" s="4" t="str">
        <f t="shared" si="69"/>
        <v>2  洋書</v>
      </c>
      <c r="L1365" s="7"/>
    </row>
    <row r="1366" spans="1:12" ht="36" x14ac:dyDescent="0.15">
      <c r="A1366" s="36">
        <v>1365</v>
      </c>
      <c r="B1366" s="3" t="s">
        <v>68</v>
      </c>
      <c r="C1366" s="4" t="str">
        <f>"0001280661"</f>
        <v>0001280661</v>
      </c>
      <c r="D1366" s="5" t="str">
        <f>"Concepts in artificial intelligence / by Jeffrey Johnson and Philip Picton.-- Butterworth Heinemann.-- (Mechatronics : designing intelligent machines ; v. 2)."</f>
        <v>Concepts in artificial intelligence / by Jeffrey Johnson and Philip Picton.-- Butterworth Heinemann.-- (Mechatronics : designing intelligent machines ; v. 2).</v>
      </c>
      <c r="E1366" s="4" t="str">
        <f>""</f>
        <v/>
      </c>
      <c r="F1366" s="26"/>
      <c r="G1366" s="27" t="str">
        <f>"548.3/ME/2"</f>
        <v>548.3/ME/2</v>
      </c>
      <c r="H1366" s="4" t="str">
        <f>"1996/11/29"</f>
        <v>1996/11/29</v>
      </c>
      <c r="I1366" s="6">
        <v>5042</v>
      </c>
      <c r="J1366" s="6">
        <v>100</v>
      </c>
      <c r="K1366" s="4" t="str">
        <f t="shared" si="69"/>
        <v>2  洋書</v>
      </c>
      <c r="L1366" s="7"/>
    </row>
    <row r="1367" spans="1:12" ht="24" x14ac:dyDescent="0.15">
      <c r="A1367" s="36">
        <v>1366</v>
      </c>
      <c r="B1367" s="3" t="s">
        <v>68</v>
      </c>
      <c r="C1367" s="4" t="str">
        <f>"0002255934"</f>
        <v>0002255934</v>
      </c>
      <c r="D1367" s="5" t="str">
        <f>"A mathematical introduction to robotic manipulation / Richard M. Murray, Zexiang Li, S. Shankar Sastry.-- CRC Press; c1994."</f>
        <v>A mathematical introduction to robotic manipulation / Richard M. Murray, Zexiang Li, S. Shankar Sastry.-- CRC Press; c1994.</v>
      </c>
      <c r="E1367" s="4" t="str">
        <f>""</f>
        <v/>
      </c>
      <c r="F1367" s="26"/>
      <c r="G1367" s="27" t="str">
        <f>"548.3/MU"</f>
        <v>548.3/MU</v>
      </c>
      <c r="H1367" s="4" t="str">
        <f>"2000/06/12"</f>
        <v>2000/06/12</v>
      </c>
      <c r="I1367" s="6">
        <v>16263</v>
      </c>
      <c r="J1367" s="8">
        <v>500</v>
      </c>
      <c r="K1367" s="4" t="str">
        <f t="shared" si="69"/>
        <v>2  洋書</v>
      </c>
      <c r="L1367" s="7"/>
    </row>
    <row r="1368" spans="1:12" ht="24" x14ac:dyDescent="0.15">
      <c r="A1368" s="36">
        <v>1367</v>
      </c>
      <c r="B1368" s="3" t="s">
        <v>68</v>
      </c>
      <c r="C1368" s="4" t="str">
        <f>"0001275407"</f>
        <v>0001275407</v>
      </c>
      <c r="D1368" s="5" t="str">
        <f>"Geometrical methods in robotics / J.M. Selig ; : hardcover.-- Springer; c1996.-- (Monographs in computer science)."</f>
        <v>Geometrical methods in robotics / J.M. Selig ; : hardcover.-- Springer; c1996.-- (Monographs in computer science).</v>
      </c>
      <c r="E1368" s="4" t="str">
        <f>": hardcover"</f>
        <v>: hardcover</v>
      </c>
      <c r="F1368" s="26"/>
      <c r="G1368" s="27" t="str">
        <f>"548.3/SE"</f>
        <v>548.3/SE</v>
      </c>
      <c r="H1368" s="4" t="str">
        <f>"1996/08/30"</f>
        <v>1996/08/30</v>
      </c>
      <c r="I1368" s="6">
        <v>7881</v>
      </c>
      <c r="J1368" s="6">
        <v>100</v>
      </c>
      <c r="K1368" s="4" t="str">
        <f t="shared" si="69"/>
        <v>2  洋書</v>
      </c>
      <c r="L1368" s="7"/>
    </row>
    <row r="1369" spans="1:12" ht="36" x14ac:dyDescent="0.15">
      <c r="A1369" s="36">
        <v>1368</v>
      </c>
      <c r="B1369" s="3" t="s">
        <v>68</v>
      </c>
      <c r="C1369" s="10" t="str">
        <f>"0001244892"</f>
        <v>0001244892</v>
      </c>
      <c r="D1369" s="11" t="str">
        <f>"Intelligent robotic planning systems / Phillip C-Y. Sheu, Q. Xue ; : pbk..-- World Scientific; c1993.-- (World Scientific series in robotics and automated systems ; vol. 3)."</f>
        <v>Intelligent robotic planning systems / Phillip C-Y. Sheu, Q. Xue ; : pbk..-- World Scientific; c1993.-- (World Scientific series in robotics and automated systems ; vol. 3).</v>
      </c>
      <c r="E1369" s="10" t="str">
        <f>""</f>
        <v/>
      </c>
      <c r="F1369" s="28" t="s">
        <v>8</v>
      </c>
      <c r="G1369" s="29" t="str">
        <f>"548.3/SH"</f>
        <v>548.3/SH</v>
      </c>
      <c r="H1369" s="10" t="str">
        <f>"1996/03/29"</f>
        <v>1996/03/29</v>
      </c>
      <c r="I1369" s="12">
        <v>7698</v>
      </c>
      <c r="J1369" s="12">
        <v>100</v>
      </c>
      <c r="K1369" s="10" t="str">
        <f t="shared" si="69"/>
        <v>2  洋書</v>
      </c>
      <c r="L1369" s="13"/>
    </row>
    <row r="1370" spans="1:12" ht="24" x14ac:dyDescent="0.15">
      <c r="A1370" s="36">
        <v>1369</v>
      </c>
      <c r="B1370" s="3" t="s">
        <v>68</v>
      </c>
      <c r="C1370" s="4" t="str">
        <f>"0000830287"</f>
        <v>0000830287</v>
      </c>
      <c r="D1370" s="5" t="str">
        <f>"Graphics and robotics / Wolfgang Strasser, Friedrich Wahl, editors ; :Germany, :U.S..-- Springer-Verlag; c1995."</f>
        <v>Graphics and robotics / Wolfgang Strasser, Friedrich Wahl, editors ; :Germany, :U.S..-- Springer-Verlag; c1995.</v>
      </c>
      <c r="E1370" s="4" t="str">
        <f>":Germany"</f>
        <v>:Germany</v>
      </c>
      <c r="F1370" s="26"/>
      <c r="G1370" s="27" t="str">
        <f>"548.3/ST"</f>
        <v>548.3/ST</v>
      </c>
      <c r="H1370" s="4" t="str">
        <f>"1995/04/18"</f>
        <v>1995/04/18</v>
      </c>
      <c r="I1370" s="6">
        <v>9075</v>
      </c>
      <c r="J1370" s="6">
        <v>100</v>
      </c>
      <c r="K1370" s="4" t="str">
        <f t="shared" si="69"/>
        <v>2  洋書</v>
      </c>
      <c r="L1370" s="7"/>
    </row>
    <row r="1371" spans="1:12" ht="36" x14ac:dyDescent="0.15">
      <c r="A1371" s="36">
        <v>1370</v>
      </c>
      <c r="B1371" s="3" t="s">
        <v>68</v>
      </c>
      <c r="C1371" s="4" t="str">
        <f>"0000850698"</f>
        <v>0000850698</v>
      </c>
      <c r="D1371" s="5" t="str">
        <f>"Recent trends in mobile robots / editor, Yuan F. Zheng.-- World Scientific; c1993.-- (World Scientific series in robotics and automated systems ; vol. 11)."</f>
        <v>Recent trends in mobile robots / editor, Yuan F. Zheng.-- World Scientific; c1993.-- (World Scientific series in robotics and automated systems ; vol. 11).</v>
      </c>
      <c r="E1371" s="4" t="str">
        <f>""</f>
        <v/>
      </c>
      <c r="F1371" s="26"/>
      <c r="G1371" s="27" t="str">
        <f>"548.3/ZH"</f>
        <v>548.3/ZH</v>
      </c>
      <c r="H1371" s="4" t="str">
        <f>"1995/07/21"</f>
        <v>1995/07/21</v>
      </c>
      <c r="I1371" s="6">
        <v>19022</v>
      </c>
      <c r="J1371" s="8">
        <v>500</v>
      </c>
      <c r="K1371" s="4" t="str">
        <f t="shared" si="69"/>
        <v>2  洋書</v>
      </c>
      <c r="L1371" s="7"/>
    </row>
    <row r="1372" spans="1:12" ht="24" x14ac:dyDescent="0.15">
      <c r="A1372" s="36">
        <v>1371</v>
      </c>
      <c r="B1372" s="3" t="s">
        <v>68</v>
      </c>
      <c r="C1372" s="4" t="str">
        <f>"0002293714"</f>
        <v>0002293714</v>
      </c>
      <c r="D1372" s="5" t="str">
        <f>"電子回路A / 藤原修編著.-- オーム社; 1996.11.-- (インターユニバーシティ)."</f>
        <v>電子回路A / 藤原修編著.-- オーム社; 1996.11.-- (インターユニバーシティ).</v>
      </c>
      <c r="E1372" s="4" t="str">
        <f>""</f>
        <v/>
      </c>
      <c r="F1372" s="26"/>
      <c r="G1372" s="27" t="str">
        <f>"549.3/ﾌｼﾞ"</f>
        <v>549.3/ﾌｼﾞ</v>
      </c>
      <c r="H1372" s="4" t="str">
        <f>"2003/04/24"</f>
        <v>2003/04/24</v>
      </c>
      <c r="I1372" s="6">
        <v>2173</v>
      </c>
      <c r="J1372" s="6">
        <v>100</v>
      </c>
      <c r="K1372" s="4" t="str">
        <f t="shared" ref="K1372:K1392" si="70">"1  和書"</f>
        <v>1  和書</v>
      </c>
      <c r="L1372" s="7"/>
    </row>
    <row r="1373" spans="1:12" ht="24" x14ac:dyDescent="0.15">
      <c r="A1373" s="36">
        <v>1372</v>
      </c>
      <c r="B1373" s="3" t="s">
        <v>70</v>
      </c>
      <c r="C1373" s="10" t="str">
        <f>"0002864372"</f>
        <v>0002864372</v>
      </c>
      <c r="D1373" s="11" t="str">
        <f>"原爆はこうして開発された / 山崎正勝, 日野川静枝編著.-- 増補.-- 青木書店; 1997.5."</f>
        <v>原爆はこうして開発された / 山崎正勝, 日野川静枝編著.-- 増補.-- 青木書店; 1997.5.</v>
      </c>
      <c r="E1373" s="10" t="str">
        <f>""</f>
        <v/>
      </c>
      <c r="F1373" s="28" t="s">
        <v>8</v>
      </c>
      <c r="G1373" s="29" t="str">
        <f>"559.7/ﾔﾏ"</f>
        <v>559.7/ﾔﾏ</v>
      </c>
      <c r="H1373" s="10" t="str">
        <f>"2007/09/07"</f>
        <v>2007/09/07</v>
      </c>
      <c r="I1373" s="12">
        <v>2123</v>
      </c>
      <c r="J1373" s="12">
        <v>100</v>
      </c>
      <c r="K1373" s="10" t="str">
        <f t="shared" si="70"/>
        <v>1  和書</v>
      </c>
      <c r="L1373" s="13"/>
    </row>
    <row r="1374" spans="1:12" ht="24" x14ac:dyDescent="0.15">
      <c r="A1374" s="36">
        <v>1373</v>
      </c>
      <c r="B1374" s="3" t="s">
        <v>71</v>
      </c>
      <c r="C1374" s="4" t="str">
        <f>"0000682695"</f>
        <v>0000682695</v>
      </c>
      <c r="D1374" s="5" t="str">
        <f>"イー・ゲー・ファルベンの対日戦略 : 戦間期日独企業関係史 / 工藤章著.-- 東京大学出版会; 1992.11."</f>
        <v>イー・ゲー・ファルベンの対日戦略 : 戦間期日独企業関係史 / 工藤章著.-- 東京大学出版会; 1992.11.</v>
      </c>
      <c r="E1374" s="4" t="str">
        <f>""</f>
        <v/>
      </c>
      <c r="F1374" s="26"/>
      <c r="G1374" s="27" t="str">
        <f>"570.9/ｸﾄﾞ"</f>
        <v>570.9/ｸﾄﾞ</v>
      </c>
      <c r="H1374" s="4" t="str">
        <f>"1995/03/31"</f>
        <v>1995/03/31</v>
      </c>
      <c r="I1374" s="6">
        <v>5216</v>
      </c>
      <c r="J1374" s="6">
        <v>100</v>
      </c>
      <c r="K1374" s="4" t="str">
        <f t="shared" si="70"/>
        <v>1  和書</v>
      </c>
      <c r="L1374" s="7"/>
    </row>
    <row r="1375" spans="1:12" ht="24" x14ac:dyDescent="0.15">
      <c r="A1375" s="36">
        <v>1374</v>
      </c>
      <c r="B1375" s="3" t="s">
        <v>72</v>
      </c>
      <c r="C1375" s="4" t="str">
        <f>"0001038699"</f>
        <v>0001038699</v>
      </c>
      <c r="D1375" s="5" t="str">
        <f>"日本語ワープロの誕生 / 森健一, 八木橋利昭共著.-- 丸善; 1989.7.-- (Frontier technology series ; [024])."</f>
        <v>日本語ワープロの誕生 / 森健一, 八木橋利昭共著.-- 丸善; 1989.7.-- (Frontier technology series ; [024]).</v>
      </c>
      <c r="E1375" s="4" t="str">
        <f>""</f>
        <v/>
      </c>
      <c r="F1375" s="26"/>
      <c r="G1375" s="27" t="str">
        <f>"582.3ﾓﾘ"</f>
        <v>582.3ﾓﾘ</v>
      </c>
      <c r="H1375" s="4" t="str">
        <f>"1996/03/29"</f>
        <v>1996/03/29</v>
      </c>
      <c r="I1375" s="6">
        <v>936</v>
      </c>
      <c r="J1375" s="6">
        <v>100</v>
      </c>
      <c r="K1375" s="4" t="str">
        <f t="shared" si="70"/>
        <v>1  和書</v>
      </c>
      <c r="L1375" s="7"/>
    </row>
    <row r="1376" spans="1:12" x14ac:dyDescent="0.15">
      <c r="A1376" s="36">
        <v>1375</v>
      </c>
      <c r="B1376" s="3" t="s">
        <v>72</v>
      </c>
      <c r="C1376" s="4" t="str">
        <f>"0002933238"</f>
        <v>0002933238</v>
      </c>
      <c r="D1376" s="5" t="str">
        <f>"セカイと私とロリータファッション / 松浦桃著.-- 青弓社; 2007.8."</f>
        <v>セカイと私とロリータファッション / 松浦桃著.-- 青弓社; 2007.8.</v>
      </c>
      <c r="E1376" s="4" t="str">
        <f>""</f>
        <v/>
      </c>
      <c r="F1376" s="26"/>
      <c r="G1376" s="27" t="str">
        <f>"589.2/ﾏﾂ"</f>
        <v>589.2/ﾏﾂ</v>
      </c>
      <c r="H1376" s="4" t="str">
        <f>"2008/10/10"</f>
        <v>2008/10/10</v>
      </c>
      <c r="I1376" s="6">
        <v>1512</v>
      </c>
      <c r="J1376" s="6">
        <v>100</v>
      </c>
      <c r="K1376" s="4" t="str">
        <f t="shared" si="70"/>
        <v>1  和書</v>
      </c>
      <c r="L1376" s="7"/>
    </row>
    <row r="1377" spans="1:12" ht="22.5" x14ac:dyDescent="0.15">
      <c r="A1377" s="36">
        <v>1376</v>
      </c>
      <c r="B1377" s="3" t="s">
        <v>73</v>
      </c>
      <c r="C1377" s="4" t="str">
        <f>"0001829914"</f>
        <v>0001829914</v>
      </c>
      <c r="D1377" s="5" t="str">
        <f>"戦後ファッションストーリー / 千村典生著.-- 平凡社; 1989.3."</f>
        <v>戦後ファッションストーリー / 千村典生著.-- 平凡社; 1989.3.</v>
      </c>
      <c r="E1377" s="4" t="str">
        <f>""</f>
        <v/>
      </c>
      <c r="F1377" s="26"/>
      <c r="G1377" s="27" t="str">
        <f>"593.3/ﾁﾑ"</f>
        <v>593.3/ﾁﾑ</v>
      </c>
      <c r="H1377" s="4" t="str">
        <f>"1998/06/04"</f>
        <v>1998/06/04</v>
      </c>
      <c r="I1377" s="6">
        <v>1890</v>
      </c>
      <c r="J1377" s="6">
        <v>100</v>
      </c>
      <c r="K1377" s="4" t="str">
        <f t="shared" si="70"/>
        <v>1  和書</v>
      </c>
      <c r="L1377" s="7"/>
    </row>
    <row r="1378" spans="1:12" x14ac:dyDescent="0.15">
      <c r="A1378" s="36">
        <v>1377</v>
      </c>
      <c r="B1378" s="3" t="s">
        <v>74</v>
      </c>
      <c r="C1378" s="4" t="str">
        <f>"0001121209"</f>
        <v>0001121209</v>
      </c>
      <c r="D1378" s="5" t="str">
        <f>"産業政策の経済分析 / 伊藤元重 [ほか] 著.-- 東京大学出版会; 1988.5."</f>
        <v>産業政策の経済分析 / 伊藤元重 [ほか] 著.-- 東京大学出版会; 1988.5.</v>
      </c>
      <c r="E1378" s="4" t="str">
        <f>""</f>
        <v/>
      </c>
      <c r="F1378" s="26"/>
      <c r="G1378" s="27" t="str">
        <f>"601/ｲﾄ"</f>
        <v>601/ｲﾄ</v>
      </c>
      <c r="H1378" s="4" t="str">
        <f>"1996/03/29"</f>
        <v>1996/03/29</v>
      </c>
      <c r="I1378" s="6">
        <v>3263</v>
      </c>
      <c r="J1378" s="6">
        <v>100</v>
      </c>
      <c r="K1378" s="4" t="str">
        <f t="shared" si="70"/>
        <v>1  和書</v>
      </c>
      <c r="L1378" s="7"/>
    </row>
    <row r="1379" spans="1:12" ht="24" x14ac:dyDescent="0.15">
      <c r="A1379" s="36">
        <v>1378</v>
      </c>
      <c r="B1379" s="3" t="s">
        <v>75</v>
      </c>
      <c r="C1379" s="4" t="str">
        <f>"0001269772"</f>
        <v>0001269772</v>
      </c>
      <c r="D1379" s="5" t="str">
        <f>"バイオエキスパートシステムズ : 生物生産におけるAI/ニューロコンピューティング / 星岳彦, 平藤雅之, 本絛毅編著.-- コロナ社; 1990.4."</f>
        <v>バイオエキスパートシステムズ : 生物生産におけるAI/ニューロコンピューティング / 星岳彦, 平藤雅之, 本絛毅編著.-- コロナ社; 1990.4.</v>
      </c>
      <c r="E1379" s="4" t="str">
        <f>""</f>
        <v/>
      </c>
      <c r="F1379" s="26"/>
      <c r="G1379" s="27" t="str">
        <f>"610.1/ﾎｼ"</f>
        <v>610.1/ﾎｼ</v>
      </c>
      <c r="H1379" s="4" t="str">
        <f>"1996/06/03"</f>
        <v>1996/06/03</v>
      </c>
      <c r="I1379" s="6">
        <v>2317</v>
      </c>
      <c r="J1379" s="6">
        <v>100</v>
      </c>
      <c r="K1379" s="4" t="str">
        <f t="shared" si="70"/>
        <v>1  和書</v>
      </c>
      <c r="L1379" s="7"/>
    </row>
    <row r="1380" spans="1:12" ht="24" x14ac:dyDescent="0.15">
      <c r="A1380" s="36">
        <v>1379</v>
      </c>
      <c r="B1380" s="3" t="s">
        <v>75</v>
      </c>
      <c r="C1380" s="4" t="str">
        <f>"0001110135"</f>
        <v>0001110135</v>
      </c>
      <c r="D1380" s="5" t="str">
        <f>"新しい農業経済論 / 山口三十四著.-- 有斐閣; 1994.6.-- (有斐閣ブックス ; [382])."</f>
        <v>新しい農業経済論 / 山口三十四著.-- 有斐閣; 1994.6.-- (有斐閣ブックス ; [382]).</v>
      </c>
      <c r="E1380" s="4" t="str">
        <f>""</f>
        <v/>
      </c>
      <c r="F1380" s="26"/>
      <c r="G1380" s="27" t="str">
        <f>"611/ﾔﾏ"</f>
        <v>611/ﾔﾏ</v>
      </c>
      <c r="H1380" s="4" t="str">
        <f>"1996/03/29"</f>
        <v>1996/03/29</v>
      </c>
      <c r="I1380" s="6">
        <v>1550</v>
      </c>
      <c r="J1380" s="6">
        <v>100</v>
      </c>
      <c r="K1380" s="4" t="str">
        <f t="shared" si="70"/>
        <v>1  和書</v>
      </c>
      <c r="L1380" s="7"/>
    </row>
    <row r="1381" spans="1:12" ht="24" x14ac:dyDescent="0.15">
      <c r="A1381" s="36">
        <v>1380</v>
      </c>
      <c r="B1381" s="3" t="s">
        <v>75</v>
      </c>
      <c r="C1381" s="4" t="str">
        <f>"0001114799"</f>
        <v>0001114799</v>
      </c>
      <c r="D1381" s="5" t="str">
        <f>"環境保全型農業と世界の経済 / 農林中金総合研究所編 ; 久宗高[ほか]著.-- 農山漁村文化協会; 1991.9."</f>
        <v>環境保全型農業と世界の経済 / 農林中金総合研究所編 ; 久宗高[ほか]著.-- 農山漁村文化協会; 1991.9.</v>
      </c>
      <c r="E1381" s="4" t="str">
        <f>""</f>
        <v/>
      </c>
      <c r="F1381" s="26"/>
      <c r="G1381" s="27" t="str">
        <f>"611.1/ﾉｳ"</f>
        <v>611.1/ﾉｳ</v>
      </c>
      <c r="H1381" s="4" t="str">
        <f>"1997/03/31"</f>
        <v>1997/03/31</v>
      </c>
      <c r="I1381" s="6">
        <v>1</v>
      </c>
      <c r="J1381" s="6">
        <v>100</v>
      </c>
      <c r="K1381" s="4" t="str">
        <f t="shared" si="70"/>
        <v>1  和書</v>
      </c>
      <c r="L1381" s="7"/>
    </row>
    <row r="1382" spans="1:12" ht="24" x14ac:dyDescent="0.15">
      <c r="A1382" s="36">
        <v>1381</v>
      </c>
      <c r="B1382" s="3" t="s">
        <v>75</v>
      </c>
      <c r="C1382" s="4" t="str">
        <f>"0001086843"</f>
        <v>0001086843</v>
      </c>
      <c r="D1382" s="5" t="str">
        <f>"米流通・管理制度の比較研究 : [韓国・タイ・日本] / 臼井晋, 三島徳三編著.-- 北海道大学図書刊行会; 1994.2."</f>
        <v>米流通・管理制度の比較研究 : [韓国・タイ・日本] / 臼井晋, 三島徳三編著.-- 北海道大学図書刊行会; 1994.2.</v>
      </c>
      <c r="E1382" s="4" t="str">
        <f>""</f>
        <v/>
      </c>
      <c r="F1382" s="26"/>
      <c r="G1382" s="27" t="str">
        <f>"611.33/ｺﾒ"</f>
        <v>611.33/ｺﾒ</v>
      </c>
      <c r="H1382" s="4" t="str">
        <f>"1996/03/29"</f>
        <v>1996/03/29</v>
      </c>
      <c r="I1382" s="6">
        <v>3080</v>
      </c>
      <c r="J1382" s="6">
        <v>100</v>
      </c>
      <c r="K1382" s="4" t="str">
        <f t="shared" si="70"/>
        <v>1  和書</v>
      </c>
      <c r="L1382" s="7"/>
    </row>
    <row r="1383" spans="1:12" ht="24" x14ac:dyDescent="0.15">
      <c r="A1383" s="36">
        <v>1382</v>
      </c>
      <c r="B1383" s="3" t="s">
        <v>75</v>
      </c>
      <c r="C1383" s="4" t="str">
        <f>"0001887310"</f>
        <v>0001887310</v>
      </c>
      <c r="D1383" s="5" t="str">
        <f>"ガット農業交渉50年史 : 起源からウルグアイ・ラウンドまで / T.E.ジョスリン, S.タンガマン, T.K.ワーレイ著 ; 塩飽二郎訳.-- 農山漁村文化協会; 1998.9."</f>
        <v>ガット農業交渉50年史 : 起源からウルグアイ・ラウンドまで / T.E.ジョスリン, S.タンガマン, T.K.ワーレイ著 ; 塩飽二郎訳.-- 農山漁村文化協会; 1998.9.</v>
      </c>
      <c r="E1383" s="4" t="str">
        <f>""</f>
        <v/>
      </c>
      <c r="F1383" s="26"/>
      <c r="G1383" s="27" t="str">
        <f>"611.48/ｼﾞﾖ"</f>
        <v>611.48/ｼﾞﾖ</v>
      </c>
      <c r="H1383" s="4" t="str">
        <f>"1999/01/17"</f>
        <v>1999/01/17</v>
      </c>
      <c r="I1383" s="6">
        <v>4647</v>
      </c>
      <c r="J1383" s="6">
        <v>100</v>
      </c>
      <c r="K1383" s="4" t="str">
        <f t="shared" si="70"/>
        <v>1  和書</v>
      </c>
      <c r="L1383" s="7"/>
    </row>
    <row r="1384" spans="1:12" x14ac:dyDescent="0.15">
      <c r="A1384" s="36">
        <v>1383</v>
      </c>
      <c r="B1384" s="3" t="s">
        <v>75</v>
      </c>
      <c r="C1384" s="4" t="str">
        <f>"0000991179"</f>
        <v>0000991179</v>
      </c>
      <c r="D1384" s="5" t="str">
        <f>"中山間地域経営論 / 北川泉編著.-- 御茶の水書房; 1995.3."</f>
        <v>中山間地域経営論 / 北川泉編著.-- 御茶の水書房; 1995.3.</v>
      </c>
      <c r="E1384" s="4" t="str">
        <f>""</f>
        <v/>
      </c>
      <c r="F1384" s="26"/>
      <c r="G1384" s="27" t="str">
        <f>"611.7/ｷﾀ"</f>
        <v>611.7/ｷﾀ</v>
      </c>
      <c r="H1384" s="4" t="str">
        <f>"1997/02/17"</f>
        <v>1997/02/17</v>
      </c>
      <c r="I1384" s="6">
        <v>5757</v>
      </c>
      <c r="J1384" s="6">
        <v>100</v>
      </c>
      <c r="K1384" s="4" t="str">
        <f t="shared" si="70"/>
        <v>1  和書</v>
      </c>
      <c r="L1384" s="7"/>
    </row>
    <row r="1385" spans="1:12" x14ac:dyDescent="0.15">
      <c r="A1385" s="36">
        <v>1384</v>
      </c>
      <c r="B1385" s="3" t="s">
        <v>75</v>
      </c>
      <c r="C1385" s="4" t="str">
        <f>"0002547169"</f>
        <v>0002547169</v>
      </c>
      <c r="D1385" s="5" t="str">
        <f>"世界恐慌とジャワ農村社会 / 植村泰夫著.-- 勁草書房; 1997.2."</f>
        <v>世界恐慌とジャワ農村社会 / 植村泰夫著.-- 勁草書房; 1997.2.</v>
      </c>
      <c r="E1385" s="4" t="str">
        <f>""</f>
        <v/>
      </c>
      <c r="F1385" s="26"/>
      <c r="G1385" s="27" t="str">
        <f>"611.92/ｳｴ"</f>
        <v>611.92/ｳｴ</v>
      </c>
      <c r="H1385" s="4" t="str">
        <f>"2003/09/01"</f>
        <v>2003/09/01</v>
      </c>
      <c r="I1385" s="6">
        <v>12054</v>
      </c>
      <c r="J1385" s="8">
        <v>500</v>
      </c>
      <c r="K1385" s="4" t="str">
        <f t="shared" si="70"/>
        <v>1  和書</v>
      </c>
      <c r="L1385" s="7"/>
    </row>
    <row r="1386" spans="1:12" ht="24" x14ac:dyDescent="0.15">
      <c r="A1386" s="36">
        <v>1385</v>
      </c>
      <c r="B1386" s="3" t="s">
        <v>75</v>
      </c>
      <c r="C1386" s="4" t="str">
        <f>"0000674683"</f>
        <v>0000674683</v>
      </c>
      <c r="D1386" s="5" t="str">
        <f>"世界農業の形成過程 / D.B. グリッグ著 ; 飯沼二郎 [ほか] 共訳.-- 大明堂; 1977.7."</f>
        <v>世界農業の形成過程 / D.B. グリッグ著 ; 飯沼二郎 [ほか] 共訳.-- 大明堂; 1977.7.</v>
      </c>
      <c r="E1386" s="4" t="str">
        <f>""</f>
        <v/>
      </c>
      <c r="F1386" s="26"/>
      <c r="G1386" s="27" t="str">
        <f>"612/ｸﾞﾘ"</f>
        <v>612/ｸﾞﾘ</v>
      </c>
      <c r="H1386" s="4" t="str">
        <f>"1995/03/31"</f>
        <v>1995/03/31</v>
      </c>
      <c r="I1386" s="6">
        <v>2686</v>
      </c>
      <c r="J1386" s="6">
        <v>100</v>
      </c>
      <c r="K1386" s="4" t="str">
        <f t="shared" si="70"/>
        <v>1  和書</v>
      </c>
      <c r="L1386" s="7"/>
    </row>
    <row r="1387" spans="1:12" ht="24" x14ac:dyDescent="0.15">
      <c r="A1387" s="36">
        <v>1386</v>
      </c>
      <c r="B1387" s="3" t="s">
        <v>75</v>
      </c>
      <c r="C1387" s="4" t="str">
        <f>"0000679862"</f>
        <v>0000679862</v>
      </c>
      <c r="D1387" s="5" t="str">
        <f>"国際化と日本農業の命運 / 小林茂著.-- 成文堂; 1994.9.-- (学際レクチャーシリーズ ; 15)."</f>
        <v>国際化と日本農業の命運 / 小林茂著.-- 成文堂; 1994.9.-- (学際レクチャーシリーズ ; 15).</v>
      </c>
      <c r="E1387" s="4" t="str">
        <f>""</f>
        <v/>
      </c>
      <c r="F1387" s="26"/>
      <c r="G1387" s="27" t="str">
        <f>"612.1/ｺﾊﾞ"</f>
        <v>612.1/ｺﾊﾞ</v>
      </c>
      <c r="H1387" s="4" t="str">
        <f>"1995/03/31"</f>
        <v>1995/03/31</v>
      </c>
      <c r="I1387" s="6">
        <v>2518</v>
      </c>
      <c r="J1387" s="6">
        <v>100</v>
      </c>
      <c r="K1387" s="4" t="str">
        <f t="shared" si="70"/>
        <v>1  和書</v>
      </c>
      <c r="L1387" s="7"/>
    </row>
    <row r="1388" spans="1:12" ht="24" x14ac:dyDescent="0.15">
      <c r="A1388" s="36">
        <v>1387</v>
      </c>
      <c r="B1388" s="3" t="s">
        <v>75</v>
      </c>
      <c r="C1388" s="4" t="str">
        <f>"0000452984"</f>
        <v>0000452984</v>
      </c>
      <c r="D1388" s="5" t="str">
        <f>"日本の農本主義 / 綱沢満昭著.-- 紀伊国屋書店; 1994.1.-- (精選復刻紀伊國屋新書)."</f>
        <v>日本の農本主義 / 綱沢満昭著.-- 紀伊国屋書店; 1994.1.-- (精選復刻紀伊國屋新書).</v>
      </c>
      <c r="E1388" s="4" t="str">
        <f>""</f>
        <v/>
      </c>
      <c r="F1388" s="26"/>
      <c r="G1388" s="27" t="str">
        <f>"612.1/ﾂﾅ"</f>
        <v>612.1/ﾂﾅ</v>
      </c>
      <c r="H1388" s="4" t="str">
        <f>"1994/03/31"</f>
        <v>1994/03/31</v>
      </c>
      <c r="I1388" s="6">
        <v>1620</v>
      </c>
      <c r="J1388" s="6">
        <v>100</v>
      </c>
      <c r="K1388" s="4" t="str">
        <f t="shared" si="70"/>
        <v>1  和書</v>
      </c>
      <c r="L1388" s="7"/>
    </row>
    <row r="1389" spans="1:12" ht="24" x14ac:dyDescent="0.15">
      <c r="A1389" s="36">
        <v>1388</v>
      </c>
      <c r="B1389" s="3" t="s">
        <v>75</v>
      </c>
      <c r="C1389" s="4" t="str">
        <f>"0000685474"</f>
        <v>0000685474</v>
      </c>
      <c r="D1389" s="5" t="str">
        <f>"熱帯林破壊と貧困化の経済学 : タイ資本主義化の地域問題 / 田坂敏雄著 ; : 新装版.-- 御茶の水書房; 1994.12."</f>
        <v>熱帯林破壊と貧困化の経済学 : タイ資本主義化の地域問題 / 田坂敏雄著 ; : 新装版.-- 御茶の水書房; 1994.12.</v>
      </c>
      <c r="E1389" s="4" t="str">
        <f>": 新装版"</f>
        <v>: 新装版</v>
      </c>
      <c r="F1389" s="26"/>
      <c r="G1389" s="27" t="str">
        <f>"612.23/ﾀｻ"</f>
        <v>612.23/ﾀｻ</v>
      </c>
      <c r="H1389" s="4" t="str">
        <f>"1995/03/31"</f>
        <v>1995/03/31</v>
      </c>
      <c r="I1389" s="6">
        <v>2938</v>
      </c>
      <c r="J1389" s="6">
        <v>100</v>
      </c>
      <c r="K1389" s="4" t="str">
        <f t="shared" si="70"/>
        <v>1  和書</v>
      </c>
      <c r="L1389" s="7"/>
    </row>
    <row r="1390" spans="1:12" x14ac:dyDescent="0.15">
      <c r="A1390" s="36">
        <v>1389</v>
      </c>
      <c r="B1390" s="3" t="s">
        <v>75</v>
      </c>
      <c r="C1390" s="4" t="str">
        <f>"0001348903"</f>
        <v>0001348903</v>
      </c>
      <c r="D1390" s="5" t="str">
        <f>"農村のヒューマンエコロジー / 西川治著.-- 古今書院; 1996.3."</f>
        <v>農村のヒューマンエコロジー / 西川治著.-- 古今書院; 1996.3.</v>
      </c>
      <c r="E1390" s="4" t="str">
        <f>""</f>
        <v/>
      </c>
      <c r="F1390" s="26"/>
      <c r="G1390" s="27" t="str">
        <f>"612.9/ﾆｼ"</f>
        <v>612.9/ﾆｼ</v>
      </c>
      <c r="H1390" s="4" t="str">
        <f>"1997/02/18"</f>
        <v>1997/02/18</v>
      </c>
      <c r="I1390" s="6">
        <v>7230</v>
      </c>
      <c r="J1390" s="6">
        <v>100</v>
      </c>
      <c r="K1390" s="4" t="str">
        <f t="shared" si="70"/>
        <v>1  和書</v>
      </c>
      <c r="L1390" s="7"/>
    </row>
    <row r="1391" spans="1:12" ht="24" x14ac:dyDescent="0.15">
      <c r="A1391" s="36">
        <v>1390</v>
      </c>
      <c r="B1391" s="3" t="s">
        <v>75</v>
      </c>
      <c r="C1391" s="4" t="str">
        <f>"0001279290"</f>
        <v>0001279290</v>
      </c>
      <c r="D1391" s="5" t="str">
        <f>"クローン増殖と人工種子 / 高山真策著.-- オーム社; 1989.1.-- (ニューアグリカルチャーシリーズ / 山口彦之 [ほか] 編)."</f>
        <v>クローン増殖と人工種子 / 高山真策著.-- オーム社; 1989.1.-- (ニューアグリカルチャーシリーズ / 山口彦之 [ほか] 編).</v>
      </c>
      <c r="E1391" s="4" t="str">
        <f>""</f>
        <v/>
      </c>
      <c r="F1391" s="26"/>
      <c r="G1391" s="27" t="str">
        <f>"615.21/ﾀｶ"</f>
        <v>615.21/ﾀｶ</v>
      </c>
      <c r="H1391" s="4" t="str">
        <f>"1996/11/14"</f>
        <v>1996/11/14</v>
      </c>
      <c r="I1391" s="6">
        <v>2224</v>
      </c>
      <c r="J1391" s="6">
        <v>100</v>
      </c>
      <c r="K1391" s="4" t="str">
        <f t="shared" si="70"/>
        <v>1  和書</v>
      </c>
      <c r="L1391" s="7"/>
    </row>
    <row r="1392" spans="1:12" ht="24" x14ac:dyDescent="0.15">
      <c r="A1392" s="36">
        <v>1391</v>
      </c>
      <c r="B1392" s="3" t="s">
        <v>76</v>
      </c>
      <c r="C1392" s="4" t="str">
        <f>"0002131429"</f>
        <v>0002131429</v>
      </c>
      <c r="D1392" s="5" t="str">
        <f>"森林管理と合意形成 / 木平勇吉著.-- 全国林業改良普及協会; 1997.2.-- (林業改良普及双書 / 全国林業改良普及協会編 ; 125)."</f>
        <v>森林管理と合意形成 / 木平勇吉著.-- 全国林業改良普及協会; 1997.2.-- (林業改良普及双書 / 全国林業改良普及協会編 ; 125).</v>
      </c>
      <c r="E1392" s="4" t="str">
        <f>""</f>
        <v/>
      </c>
      <c r="F1392" s="26"/>
      <c r="G1392" s="27" t="str">
        <f>"651/ｺﾉ"</f>
        <v>651/ｺﾉ</v>
      </c>
      <c r="H1392" s="4" t="str">
        <f>"2000/02/08"</f>
        <v>2000/02/08</v>
      </c>
      <c r="I1392" s="6">
        <v>871</v>
      </c>
      <c r="J1392" s="6">
        <v>100</v>
      </c>
      <c r="K1392" s="4" t="str">
        <f t="shared" si="70"/>
        <v>1  和書</v>
      </c>
      <c r="L1392" s="7"/>
    </row>
    <row r="1393" spans="1:12" ht="48" x14ac:dyDescent="0.15">
      <c r="A1393" s="36">
        <v>1392</v>
      </c>
      <c r="B1393" s="3" t="s">
        <v>77</v>
      </c>
      <c r="C1393" s="10" t="str">
        <f>"0000417426"</f>
        <v>0000417426</v>
      </c>
      <c r="D1393" s="11" t="str">
        <f>"Trade, growth and development : the role of politics and institutions : proceedings of the 12th Arne Ryde Symposium, 13-14 June 1991, in honour of Bo S◆U00F6◆dersten / edited by G◆U00F6◆te Hansson.-- Routledge; 1993."</f>
        <v>Trade, growth and development : the role of politics and institutions : proceedings of the 12th Arne Ryde Symposium, 13-14 June 1991, in honour of Bo S◆U00F6◆dersten / edited by G◆U00F6◆te Hansson.-- Routledge; 1993.</v>
      </c>
      <c r="E1393" s="10" t="str">
        <f>""</f>
        <v/>
      </c>
      <c r="F1393" s="28" t="s">
        <v>8</v>
      </c>
      <c r="G1393" s="29" t="str">
        <f>"678.1/AR"</f>
        <v>678.1/AR</v>
      </c>
      <c r="H1393" s="10" t="str">
        <f>"1994/03/31"</f>
        <v>1994/03/31</v>
      </c>
      <c r="I1393" s="12">
        <v>9214</v>
      </c>
      <c r="J1393" s="12">
        <v>100</v>
      </c>
      <c r="K1393" s="10" t="str">
        <f>"2  洋書"</f>
        <v>2  洋書</v>
      </c>
      <c r="L1393" s="13"/>
    </row>
    <row r="1394" spans="1:12" ht="36" x14ac:dyDescent="0.15">
      <c r="A1394" s="36">
        <v>1393</v>
      </c>
      <c r="B1394" s="3" t="s">
        <v>77</v>
      </c>
      <c r="C1394" s="10" t="str">
        <f>"0000796620"</f>
        <v>0000796620</v>
      </c>
      <c r="D1394" s="11" t="str">
        <f>"Studies in public regulation / edited by Gary Fromm ; : pbk.-- MIT Press; 1983, c1981.-- (MIT Press series on the regulation of economic activity ; 4)."</f>
        <v>Studies in public regulation / edited by Gary Fromm ; : pbk.-- MIT Press; 1983, c1981.-- (MIT Press series on the regulation of economic activity ; 4).</v>
      </c>
      <c r="E1394" s="10" t="str">
        <f>": pbk"</f>
        <v>: pbk</v>
      </c>
      <c r="F1394" s="28" t="s">
        <v>8</v>
      </c>
      <c r="G1394" s="29" t="str">
        <f>"678.1/FR"</f>
        <v>678.1/FR</v>
      </c>
      <c r="H1394" s="10" t="str">
        <f>"1995/03/31"</f>
        <v>1995/03/31</v>
      </c>
      <c r="I1394" s="12">
        <v>3796</v>
      </c>
      <c r="J1394" s="12">
        <v>100</v>
      </c>
      <c r="K1394" s="10" t="str">
        <f>"2  洋書"</f>
        <v>2  洋書</v>
      </c>
      <c r="L1394" s="13"/>
    </row>
    <row r="1395" spans="1:12" ht="36" x14ac:dyDescent="0.15">
      <c r="A1395" s="36">
        <v>1394</v>
      </c>
      <c r="B1395" s="3" t="s">
        <v>77</v>
      </c>
      <c r="C1395" s="4" t="str">
        <f>"0000846592"</f>
        <v>0000846592</v>
      </c>
      <c r="D1395" s="5" t="str">
        <f>"The regulation of international trade : political economy and legal order / Michael J. Trebilcock and Robert Howse ; : hbk, : pbk.-- Routledge; 1995."</f>
        <v>The regulation of international trade : political economy and legal order / Michael J. Trebilcock and Robert Howse ; : hbk, : pbk.-- Routledge; 1995.</v>
      </c>
      <c r="E1395" s="4" t="str">
        <f>": pbk"</f>
        <v>: pbk</v>
      </c>
      <c r="F1395" s="26"/>
      <c r="G1395" s="27" t="str">
        <f>"678.1/TR"</f>
        <v>678.1/TR</v>
      </c>
      <c r="H1395" s="4" t="str">
        <f>"1995/05/02"</f>
        <v>1995/05/02</v>
      </c>
      <c r="I1395" s="6">
        <v>4223</v>
      </c>
      <c r="J1395" s="6">
        <v>100</v>
      </c>
      <c r="K1395" s="4" t="str">
        <f>"2  洋書"</f>
        <v>2  洋書</v>
      </c>
      <c r="L1395" s="7"/>
    </row>
    <row r="1396" spans="1:12" ht="24" x14ac:dyDescent="0.15">
      <c r="A1396" s="36">
        <v>1395</v>
      </c>
      <c r="B1396" s="3" t="s">
        <v>78</v>
      </c>
      <c r="C1396" s="10" t="str">
        <f>"0000981859"</f>
        <v>0000981859</v>
      </c>
      <c r="D1396" s="11" t="str">
        <f>"Broadcasting in the United Kingdom : a guide to information sources / Barrie MacDonald.-- Mansell Pub. Ltd.; 1988."</f>
        <v>Broadcasting in the United Kingdom : a guide to information sources / Barrie MacDonald.-- Mansell Pub. Ltd.; 1988.</v>
      </c>
      <c r="E1396" s="10" t="str">
        <f>""</f>
        <v/>
      </c>
      <c r="F1396" s="28" t="s">
        <v>8</v>
      </c>
      <c r="G1396" s="29" t="str">
        <f>"699.23/MA"</f>
        <v>699.23/MA</v>
      </c>
      <c r="H1396" s="10" t="str">
        <f>"1996/11/21"</f>
        <v>1996/11/21</v>
      </c>
      <c r="I1396" s="12">
        <v>9560</v>
      </c>
      <c r="J1396" s="12">
        <v>100</v>
      </c>
      <c r="K1396" s="10" t="str">
        <f>"2  洋書"</f>
        <v>2  洋書</v>
      </c>
      <c r="L1396" s="13"/>
    </row>
    <row r="1397" spans="1:12" ht="24" x14ac:dyDescent="0.15">
      <c r="A1397" s="36">
        <v>1396</v>
      </c>
      <c r="B1397" s="3" t="s">
        <v>79</v>
      </c>
      <c r="C1397" s="4" t="str">
        <f>"0003525753"</f>
        <v>0003525753</v>
      </c>
      <c r="D1397" s="5" t="str">
        <f>"フィクションとは何か : ごっこ遊びと芸術 / ケンダル・ウォルトン著 ; 田村均訳.-- 名古屋大学出版会; 2016.5."</f>
        <v>フィクションとは何か : ごっこ遊びと芸術 / ケンダル・ウォルトン著 ; 田村均訳.-- 名古屋大学出版会; 2016.5.</v>
      </c>
      <c r="E1397" s="4" t="str">
        <f>""</f>
        <v/>
      </c>
      <c r="F1397" s="26"/>
      <c r="G1397" s="27" t="str">
        <f>"701.1/ｳｵ"</f>
        <v>701.1/ｳｵ</v>
      </c>
      <c r="H1397" s="4" t="str">
        <f>"2016/12/12"</f>
        <v>2016/12/12</v>
      </c>
      <c r="I1397" s="6">
        <v>6221</v>
      </c>
      <c r="J1397" s="6">
        <v>100</v>
      </c>
      <c r="K1397" s="4" t="str">
        <f>"1  和書"</f>
        <v>1  和書</v>
      </c>
      <c r="L1397" s="7"/>
    </row>
    <row r="1398" spans="1:12" ht="24" x14ac:dyDescent="0.15">
      <c r="A1398" s="36">
        <v>1397</v>
      </c>
      <c r="B1398" s="3" t="s">
        <v>79</v>
      </c>
      <c r="C1398" s="4" t="str">
        <f>"0003139356"</f>
        <v>0003139356</v>
      </c>
      <c r="D1398" s="5" t="str">
        <f>"ポピュラー芸術の美学 : プラグマティズムの立場から / R.シュスターマン著 ; 秋庭史典訳.-- 勁草書房; 1999.11."</f>
        <v>ポピュラー芸術の美学 : プラグマティズムの立場から / R.シュスターマン著 ; 秋庭史典訳.-- 勁草書房; 1999.11.</v>
      </c>
      <c r="E1398" s="4" t="str">
        <f>""</f>
        <v/>
      </c>
      <c r="F1398" s="26"/>
      <c r="G1398" s="27" t="str">
        <f>"701.1/ｼﾕ"</f>
        <v>701.1/ｼﾕ</v>
      </c>
      <c r="H1398" s="4" t="str">
        <f>"2012/06/22"</f>
        <v>2012/06/22</v>
      </c>
      <c r="I1398" s="6">
        <v>3213</v>
      </c>
      <c r="J1398" s="6">
        <v>100</v>
      </c>
      <c r="K1398" s="4" t="str">
        <f>"1  和書"</f>
        <v>1  和書</v>
      </c>
      <c r="L1398" s="7"/>
    </row>
    <row r="1399" spans="1:12" x14ac:dyDescent="0.15">
      <c r="A1399" s="36">
        <v>1398</v>
      </c>
      <c r="B1399" s="3" t="s">
        <v>79</v>
      </c>
      <c r="C1399" s="10" t="str">
        <f>"0003164310"</f>
        <v>0003164310</v>
      </c>
      <c r="D1399" s="11" t="str">
        <f>"アトリエインカーブ : 現代アートの魔球 / 神谷梢著.-- 創元社; 2010.5."</f>
        <v>アトリエインカーブ : 現代アートの魔球 / 神谷梢著.-- 創元社; 2010.5.</v>
      </c>
      <c r="E1399" s="10" t="str">
        <f>""</f>
        <v/>
      </c>
      <c r="F1399" s="28" t="s">
        <v>8</v>
      </c>
      <c r="G1399" s="29" t="str">
        <f>"702.06/ｶﾐ"</f>
        <v>702.06/ｶﾐ</v>
      </c>
      <c r="H1399" s="10" t="str">
        <f>"2010/07/05"</f>
        <v>2010/07/05</v>
      </c>
      <c r="I1399" s="12">
        <v>1701</v>
      </c>
      <c r="J1399" s="12">
        <v>100</v>
      </c>
      <c r="K1399" s="10" t="str">
        <f>"1  和書"</f>
        <v>1  和書</v>
      </c>
      <c r="L1399" s="13"/>
    </row>
    <row r="1400" spans="1:12" ht="24" x14ac:dyDescent="0.15">
      <c r="A1400" s="36">
        <v>1399</v>
      </c>
      <c r="B1400" s="3" t="s">
        <v>79</v>
      </c>
      <c r="C1400" s="4" t="str">
        <f>"0003503010"</f>
        <v>0003503010</v>
      </c>
      <c r="D1400" s="5" t="str">
        <f>"切断する美学 : アヴァンギャルド芸術思想史 / 塚原史著.-- 論創社; 2013.2."</f>
        <v>切断する美学 : アヴァンギャルド芸術思想史 / 塚原史著.-- 論創社; 2013.2.</v>
      </c>
      <c r="E1400" s="4" t="str">
        <f>""</f>
        <v/>
      </c>
      <c r="F1400" s="26"/>
      <c r="G1400" s="27" t="str">
        <f>"702.06/ﾂｶ"</f>
        <v>702.06/ﾂｶ</v>
      </c>
      <c r="H1400" s="4" t="str">
        <f>"2014/09/15"</f>
        <v>2014/09/15</v>
      </c>
      <c r="I1400" s="6">
        <v>4104</v>
      </c>
      <c r="J1400" s="6">
        <v>100</v>
      </c>
      <c r="K1400" s="4" t="str">
        <f>"1  和書"</f>
        <v>1  和書</v>
      </c>
      <c r="L1400" s="7"/>
    </row>
    <row r="1401" spans="1:12" ht="24" x14ac:dyDescent="0.15">
      <c r="A1401" s="36">
        <v>1400</v>
      </c>
      <c r="B1401" s="3" t="s">
        <v>79</v>
      </c>
      <c r="C1401" s="4" t="str">
        <f>"0000924955"</f>
        <v>0000924955</v>
      </c>
      <c r="D1401" s="5" t="str">
        <f>"Punti cardinali dell'arte : XLV Esposizione internazionale d'arte ; [vol. 1], vol. 2.-- Marsilio; c1993."</f>
        <v>Punti cardinali dell'arte : XLV Esposizione internazionale d'arte ; [vol. 1], vol. 2.-- Marsilio; c1993.</v>
      </c>
      <c r="E1401" s="4" t="str">
        <f>"vol. 2"</f>
        <v>vol. 2</v>
      </c>
      <c r="F1401" s="26"/>
      <c r="G1401" s="27" t="str">
        <f>"702.06/BI/2"</f>
        <v>702.06/BI/2</v>
      </c>
      <c r="H1401" s="4" t="str">
        <f>"1995/01/05"</f>
        <v>1995/01/05</v>
      </c>
      <c r="I1401" s="6">
        <v>10094</v>
      </c>
      <c r="J1401" s="8">
        <v>500</v>
      </c>
      <c r="K1401" s="4" t="str">
        <f>"2  洋書"</f>
        <v>2  洋書</v>
      </c>
      <c r="L1401" s="7"/>
    </row>
    <row r="1402" spans="1:12" ht="24" x14ac:dyDescent="0.15">
      <c r="A1402" s="36">
        <v>1401</v>
      </c>
      <c r="B1402" s="3" t="s">
        <v>79</v>
      </c>
      <c r="C1402" s="4" t="str">
        <f>"0002226002"</f>
        <v>0002226002</v>
      </c>
      <c r="D1402" s="5" t="str">
        <f>"シルクロードの壁画 : 東西文化の交流を探る / 文化財研究所東京文化財研究所文化遺産国際協力センター編.-- 言叢社; 2007.3."</f>
        <v>シルクロードの壁画 : 東西文化の交流を探る / 文化財研究所東京文化財研究所文化遺産国際協力センター編.-- 言叢社; 2007.3.</v>
      </c>
      <c r="E1402" s="4" t="str">
        <f>""</f>
        <v/>
      </c>
      <c r="F1402" s="26"/>
      <c r="G1402" s="27" t="str">
        <f>"702.2/ﾌﾞﾝ"</f>
        <v>702.2/ﾌﾞﾝ</v>
      </c>
      <c r="H1402" s="4" t="str">
        <f>"2007/05/23"</f>
        <v>2007/05/23</v>
      </c>
      <c r="I1402" s="6">
        <v>6119</v>
      </c>
      <c r="J1402" s="6">
        <v>100</v>
      </c>
      <c r="K1402" s="4" t="str">
        <f t="shared" ref="K1402:K1421" si="71">"1  和書"</f>
        <v>1  和書</v>
      </c>
      <c r="L1402" s="7"/>
    </row>
    <row r="1403" spans="1:12" ht="36" x14ac:dyDescent="0.15">
      <c r="A1403" s="36">
        <v>1402</v>
      </c>
      <c r="B1403" s="3" t="s">
        <v>79</v>
      </c>
      <c r="C1403" s="10" t="str">
        <f>"0001591309"</f>
        <v>0001591309</v>
      </c>
      <c r="D1403" s="11" t="str">
        <f>"沖縄県立芸術大学美術工芸学部卒業制作図録 / 沖縄県立芸術大学美術工芸学部編 ; 1989 - 第4回 1992.-- 沖縄県立芸術大学芸術振興財団; 1990-."</f>
        <v>沖縄県立芸術大学美術工芸学部卒業制作図録 / 沖縄県立芸術大学美術工芸学部編 ; 1989 - 第4回 1992.-- 沖縄県立芸術大学芸術振興財団; 1990-.</v>
      </c>
      <c r="E1403" s="10" t="str">
        <f>"1990"</f>
        <v>1990</v>
      </c>
      <c r="F1403" s="28" t="s">
        <v>8</v>
      </c>
      <c r="G1403" s="29" t="str">
        <f>"708ｵｷ90"</f>
        <v>708ｵｷ90</v>
      </c>
      <c r="H1403" s="10" t="str">
        <f>"1995/08/03"</f>
        <v>1995/08/03</v>
      </c>
      <c r="I1403" s="12">
        <v>1</v>
      </c>
      <c r="J1403" s="12">
        <v>100</v>
      </c>
      <c r="K1403" s="10" t="str">
        <f t="shared" si="71"/>
        <v>1  和書</v>
      </c>
      <c r="L1403" s="13"/>
    </row>
    <row r="1404" spans="1:12" ht="36" x14ac:dyDescent="0.15">
      <c r="A1404" s="36">
        <v>1403</v>
      </c>
      <c r="B1404" s="3" t="s">
        <v>79</v>
      </c>
      <c r="C1404" s="10" t="str">
        <f>"0001590319"</f>
        <v>0001590319</v>
      </c>
      <c r="D1404" s="11" t="str">
        <f>"京都市立芸術大学美術学部卒業・修了制作図録 / 京都市立芸術大学美術学部 図展委員会編 ; 昭和62年度作品展 - 2013年度作品展.-- 京都市立芸術大学美術学部父兄会; 1988.3-."</f>
        <v>京都市立芸術大学美術学部卒業・修了制作図録 / 京都市立芸術大学美術学部 図展委員会編 ; 昭和62年度作品展 - 2013年度作品展.-- 京都市立芸術大学美術学部父兄会; 1988.3-.</v>
      </c>
      <c r="E1404" s="10" t="str">
        <f>"1990年度作品展"</f>
        <v>1990年度作品展</v>
      </c>
      <c r="F1404" s="28" t="s">
        <v>8</v>
      </c>
      <c r="G1404" s="29" t="str">
        <f>"708/ｷﾖ/90"</f>
        <v>708/ｷﾖ/90</v>
      </c>
      <c r="H1404" s="10" t="str">
        <f>"1995/07/26"</f>
        <v>1995/07/26</v>
      </c>
      <c r="I1404" s="12">
        <v>1</v>
      </c>
      <c r="J1404" s="12">
        <v>100</v>
      </c>
      <c r="K1404" s="10" t="str">
        <f t="shared" si="71"/>
        <v>1  和書</v>
      </c>
      <c r="L1404" s="13"/>
    </row>
    <row r="1405" spans="1:12" ht="36" x14ac:dyDescent="0.15">
      <c r="A1405" s="36">
        <v>1404</v>
      </c>
      <c r="B1405" s="3" t="s">
        <v>79</v>
      </c>
      <c r="C1405" s="10" t="str">
        <f>"0002978512"</f>
        <v>0002978512</v>
      </c>
      <c r="D1405" s="11" t="str">
        <f>"京都市立芸術大学美術学部卒業・修了制作図録 / 京都市立芸術大学美術学部 図展委員会編 ; 昭和62年度作品展 - 2013年度作品展.-- 京都市立芸術大学美術学部父兄会; 1988.3-."</f>
        <v>京都市立芸術大学美術学部卒業・修了制作図録 / 京都市立芸術大学美術学部 図展委員会編 ; 昭和62年度作品展 - 2013年度作品展.-- 京都市立芸術大学美術学部父兄会; 1988.3-.</v>
      </c>
      <c r="E1405" s="10" t="str">
        <f>"1996年度作品展"</f>
        <v>1996年度作品展</v>
      </c>
      <c r="F1405" s="28" t="s">
        <v>8</v>
      </c>
      <c r="G1405" s="29" t="str">
        <f>"708/ｷﾖ/96"</f>
        <v>708/ｷﾖ/96</v>
      </c>
      <c r="H1405" s="10" t="str">
        <f>"2007/10/05"</f>
        <v>2007/10/05</v>
      </c>
      <c r="I1405" s="12">
        <v>1</v>
      </c>
      <c r="J1405" s="12">
        <v>100</v>
      </c>
      <c r="K1405" s="10" t="str">
        <f t="shared" si="71"/>
        <v>1  和書</v>
      </c>
      <c r="L1405" s="13"/>
    </row>
    <row r="1406" spans="1:12" ht="36" x14ac:dyDescent="0.15">
      <c r="A1406" s="36">
        <v>1405</v>
      </c>
      <c r="B1406" s="3" t="s">
        <v>79</v>
      </c>
      <c r="C1406" s="10" t="str">
        <f>"0002963990"</f>
        <v>0002963990</v>
      </c>
      <c r="D1406" s="11" t="str">
        <f>"京都市立芸術大学美術学部卒業・修了制作図録 / 京都市立芸術大学美術学部 図展委員会編 ; 昭和62年度作品展 - 2013年度作品展.-- 京都市立芸術大学美術学部父兄会; 1988.3-."</f>
        <v>京都市立芸術大学美術学部卒業・修了制作図録 / 京都市立芸術大学美術学部 図展委員会編 ; 昭和62年度作品展 - 2013年度作品展.-- 京都市立芸術大学美術学部父兄会; 1988.3-.</v>
      </c>
      <c r="E1406" s="10" t="str">
        <f>"1997年度作品展"</f>
        <v>1997年度作品展</v>
      </c>
      <c r="F1406" s="28" t="s">
        <v>8</v>
      </c>
      <c r="G1406" s="29" t="str">
        <f>"708/ｷﾖ/97"</f>
        <v>708/ｷﾖ/97</v>
      </c>
      <c r="H1406" s="10" t="str">
        <f>"2007/05/23"</f>
        <v>2007/05/23</v>
      </c>
      <c r="I1406" s="12">
        <v>1</v>
      </c>
      <c r="J1406" s="12">
        <v>100</v>
      </c>
      <c r="K1406" s="10" t="str">
        <f t="shared" si="71"/>
        <v>1  和書</v>
      </c>
      <c r="L1406" s="13"/>
    </row>
    <row r="1407" spans="1:12" ht="36" x14ac:dyDescent="0.15">
      <c r="A1407" s="36">
        <v>1406</v>
      </c>
      <c r="B1407" s="3" t="s">
        <v>79</v>
      </c>
      <c r="C1407" s="10" t="str">
        <f>"0001874143"</f>
        <v>0001874143</v>
      </c>
      <c r="D1407" s="11" t="str">
        <f>"京都市立芸術大学美術学部卒業・修了制作図録 / 京都市立芸術大学美術学部 図展委員会編 ; 昭和62年度作品展 - 2013年度作品展.-- 京都市立芸術大学美術学部父兄会; 1988.3-."</f>
        <v>京都市立芸術大学美術学部卒業・修了制作図録 / 京都市立芸術大学美術学部 図展委員会編 ; 昭和62年度作品展 - 2013年度作品展.-- 京都市立芸術大学美術学部父兄会; 1988.3-.</v>
      </c>
      <c r="E1407" s="10" t="str">
        <f>"1998年度作品展"</f>
        <v>1998年度作品展</v>
      </c>
      <c r="F1407" s="28" t="s">
        <v>8</v>
      </c>
      <c r="G1407" s="29" t="str">
        <f>"708/ｷﾖ/98"</f>
        <v>708/ｷﾖ/98</v>
      </c>
      <c r="H1407" s="10" t="str">
        <f>"1999/04/13"</f>
        <v>1999/04/13</v>
      </c>
      <c r="I1407" s="12">
        <v>1</v>
      </c>
      <c r="J1407" s="12">
        <v>100</v>
      </c>
      <c r="K1407" s="10" t="str">
        <f t="shared" si="71"/>
        <v>1  和書</v>
      </c>
      <c r="L1407" s="13"/>
    </row>
    <row r="1408" spans="1:12" ht="24" x14ac:dyDescent="0.15">
      <c r="A1408" s="36">
        <v>1407</v>
      </c>
      <c r="B1408" s="3" t="s">
        <v>80</v>
      </c>
      <c r="C1408" s="4" t="str">
        <f>"0003019863"</f>
        <v>0003019863</v>
      </c>
      <c r="D1408" s="5" t="str">
        <f>"影の歴史 / ヴィクトル・I.ストイキツァ著 ; 岡田温司, 西田兼訳.-- 平凡社; 2008.8."</f>
        <v>影の歴史 / ヴィクトル・I.ストイキツァ著 ; 岡田温司, 西田兼訳.-- 平凡社; 2008.8.</v>
      </c>
      <c r="E1408" s="4" t="str">
        <f>""</f>
        <v/>
      </c>
      <c r="F1408" s="26"/>
      <c r="G1408" s="27" t="str">
        <f>"723/ｽﾄ"</f>
        <v>723/ｽﾄ</v>
      </c>
      <c r="H1408" s="4" t="str">
        <f>"2008/12/01"</f>
        <v>2008/12/01</v>
      </c>
      <c r="I1408" s="6">
        <v>3815</v>
      </c>
      <c r="J1408" s="6">
        <v>100</v>
      </c>
      <c r="K1408" s="4" t="str">
        <f t="shared" si="71"/>
        <v>1  和書</v>
      </c>
      <c r="L1408" s="7"/>
    </row>
    <row r="1409" spans="1:12" ht="24" x14ac:dyDescent="0.15">
      <c r="A1409" s="36">
        <v>1408</v>
      </c>
      <c r="B1409" s="3" t="s">
        <v>80</v>
      </c>
      <c r="C1409" s="4" t="str">
        <f>"0001875874"</f>
        <v>0001875874</v>
      </c>
      <c r="D1409" s="5" t="str">
        <f>"フィレンツェ賞展 : 雪梁舎 ; 第1回 (1999) - 第20回記念 (2018).-- 美術育成財団雪梁舎; 1999-."</f>
        <v>フィレンツェ賞展 : 雪梁舎 ; 第1回 (1999) - 第20回記念 (2018).-- 美術育成財団雪梁舎; 1999-.</v>
      </c>
      <c r="E1409" s="5" t="str">
        <f>"第1回 (1999)"</f>
        <v>第1回 (1999)</v>
      </c>
      <c r="F1409" s="26"/>
      <c r="G1409" s="27" t="str">
        <f>"723.1/ｾﾂ/1"</f>
        <v>723.1/ｾﾂ/1</v>
      </c>
      <c r="H1409" s="4" t="str">
        <f>"1999/08/24"</f>
        <v>1999/08/24</v>
      </c>
      <c r="I1409" s="6">
        <v>1</v>
      </c>
      <c r="J1409" s="6">
        <v>100</v>
      </c>
      <c r="K1409" s="4" t="str">
        <f t="shared" si="71"/>
        <v>1  和書</v>
      </c>
      <c r="L1409" s="7"/>
    </row>
    <row r="1410" spans="1:12" ht="24" x14ac:dyDescent="0.15">
      <c r="A1410" s="36">
        <v>1409</v>
      </c>
      <c r="B1410" s="3" t="s">
        <v>80</v>
      </c>
      <c r="C1410" s="4" t="str">
        <f>"0002963396"</f>
        <v>0002963396</v>
      </c>
      <c r="D1410" s="5" t="str">
        <f>"フィレンツェ賞展 : 雪梁舎 ; 第1回 (1999) - 第20回記念 (2018).-- 美術育成財団雪梁舎; 1999-."</f>
        <v>フィレンツェ賞展 : 雪梁舎 ; 第1回 (1999) - 第20回記念 (2018).-- 美術育成財団雪梁舎; 1999-.</v>
      </c>
      <c r="E1410" s="5" t="str">
        <f>"第4回"</f>
        <v>第4回</v>
      </c>
      <c r="F1410" s="26"/>
      <c r="G1410" s="27" t="str">
        <f>"723.1/ｾﾂ/4"</f>
        <v>723.1/ｾﾂ/4</v>
      </c>
      <c r="H1410" s="4" t="str">
        <f>"2007/05/23"</f>
        <v>2007/05/23</v>
      </c>
      <c r="I1410" s="6">
        <v>1</v>
      </c>
      <c r="J1410" s="6">
        <v>100</v>
      </c>
      <c r="K1410" s="4" t="str">
        <f t="shared" si="71"/>
        <v>1  和書</v>
      </c>
      <c r="L1410" s="7"/>
    </row>
    <row r="1411" spans="1:12" ht="24" x14ac:dyDescent="0.15">
      <c r="A1411" s="36">
        <v>1410</v>
      </c>
      <c r="B1411" s="3" t="s">
        <v>80</v>
      </c>
      <c r="C1411" s="4" t="str">
        <f>"0002963426"</f>
        <v>0002963426</v>
      </c>
      <c r="D1411" s="5" t="str">
        <f>"フィレンツェ賞展 : 雪梁舎 ; 第1回 (1999) - 第20回記念 (2018).-- 美術育成財団雪梁舎; 1999-."</f>
        <v>フィレンツェ賞展 : 雪梁舎 ; 第1回 (1999) - 第20回記念 (2018).-- 美術育成財団雪梁舎; 1999-.</v>
      </c>
      <c r="E1411" s="4" t="str">
        <f>"第5回"</f>
        <v>第5回</v>
      </c>
      <c r="F1411" s="26"/>
      <c r="G1411" s="27" t="str">
        <f>"723.1/ｾﾂ/5"</f>
        <v>723.1/ｾﾂ/5</v>
      </c>
      <c r="H1411" s="4" t="str">
        <f>"2007/05/23"</f>
        <v>2007/05/23</v>
      </c>
      <c r="I1411" s="6">
        <v>1</v>
      </c>
      <c r="J1411" s="6">
        <v>100</v>
      </c>
      <c r="K1411" s="4" t="str">
        <f t="shared" si="71"/>
        <v>1  和書</v>
      </c>
      <c r="L1411" s="7"/>
    </row>
    <row r="1412" spans="1:12" ht="24" x14ac:dyDescent="0.15">
      <c r="A1412" s="36">
        <v>1411</v>
      </c>
      <c r="B1412" s="3" t="s">
        <v>80</v>
      </c>
      <c r="C1412" s="4" t="str">
        <f>"0002963433"</f>
        <v>0002963433</v>
      </c>
      <c r="D1412" s="5" t="str">
        <f>"フィレンツェ賞展 : 雪梁舎 ; 第1回 (1999) - 第20回記念 (2018).-- 美術育成財団雪梁舎; 1999-."</f>
        <v>フィレンツェ賞展 : 雪梁舎 ; 第1回 (1999) - 第20回記念 (2018).-- 美術育成財団雪梁舎; 1999-.</v>
      </c>
      <c r="E1412" s="4" t="str">
        <f>"第6回"</f>
        <v>第6回</v>
      </c>
      <c r="F1412" s="26"/>
      <c r="G1412" s="27" t="str">
        <f>"723.1/ｾﾂ/6"</f>
        <v>723.1/ｾﾂ/6</v>
      </c>
      <c r="H1412" s="4" t="str">
        <f>"2007/05/23"</f>
        <v>2007/05/23</v>
      </c>
      <c r="I1412" s="6">
        <v>1</v>
      </c>
      <c r="J1412" s="6">
        <v>100</v>
      </c>
      <c r="K1412" s="4" t="str">
        <f t="shared" si="71"/>
        <v>1  和書</v>
      </c>
      <c r="L1412" s="7"/>
    </row>
    <row r="1413" spans="1:12" ht="24" x14ac:dyDescent="0.15">
      <c r="A1413" s="36">
        <v>1412</v>
      </c>
      <c r="B1413" s="3" t="s">
        <v>80</v>
      </c>
      <c r="C1413" s="4" t="str">
        <f>"0002963280"</f>
        <v>0002963280</v>
      </c>
      <c r="D1413" s="5" t="str">
        <f>"フィレンツェ賞展 : 雪梁舎 ; 第1回 (1999) - 第20回記念 (2018).-- 美術育成財団雪梁舎; 1999-."</f>
        <v>フィレンツェ賞展 : 雪梁舎 ; 第1回 (1999) - 第20回記念 (2018).-- 美術育成財団雪梁舎; 1999-.</v>
      </c>
      <c r="E1413" s="4" t="str">
        <f>"第7回"</f>
        <v>第7回</v>
      </c>
      <c r="F1413" s="26"/>
      <c r="G1413" s="27" t="str">
        <f>"723.1/ｾﾂ/7"</f>
        <v>723.1/ｾﾂ/7</v>
      </c>
      <c r="H1413" s="4" t="str">
        <f>"2007/05/23"</f>
        <v>2007/05/23</v>
      </c>
      <c r="I1413" s="6">
        <v>1</v>
      </c>
      <c r="J1413" s="6">
        <v>100</v>
      </c>
      <c r="K1413" s="4" t="str">
        <f t="shared" si="71"/>
        <v>1  和書</v>
      </c>
      <c r="L1413" s="7"/>
    </row>
    <row r="1414" spans="1:12" x14ac:dyDescent="0.15">
      <c r="A1414" s="36">
        <v>1413</v>
      </c>
      <c r="B1414" s="3" t="s">
        <v>80</v>
      </c>
      <c r="C1414" s="4" t="str">
        <f>"0003525722"</f>
        <v>0003525722</v>
      </c>
      <c r="D1414" s="5" t="str">
        <f>"ピカソになりきった男 / ギィ・リブ著 ; 鳥取絹子訳.-- キノブックス; 2016.8."</f>
        <v>ピカソになりきった男 / ギィ・リブ著 ; 鳥取絹子訳.-- キノブックス; 2016.8.</v>
      </c>
      <c r="E1414" s="4" t="str">
        <f>""</f>
        <v/>
      </c>
      <c r="F1414" s="26"/>
      <c r="G1414" s="27" t="str">
        <f>"723.35/ﾘﾌﾞ"</f>
        <v>723.35/ﾘﾌﾞ</v>
      </c>
      <c r="H1414" s="4" t="str">
        <f>"2016/12/09"</f>
        <v>2016/12/09</v>
      </c>
      <c r="I1414" s="6">
        <v>1728</v>
      </c>
      <c r="J1414" s="6">
        <v>100</v>
      </c>
      <c r="K1414" s="4" t="str">
        <f t="shared" si="71"/>
        <v>1  和書</v>
      </c>
      <c r="L1414" s="7"/>
    </row>
    <row r="1415" spans="1:12" ht="24" x14ac:dyDescent="0.15">
      <c r="A1415" s="36">
        <v>1414</v>
      </c>
      <c r="B1415" s="3" t="s">
        <v>81</v>
      </c>
      <c r="C1415" s="10" t="str">
        <f>"0001339161"</f>
        <v>0001339161</v>
      </c>
      <c r="D1415" s="11" t="str">
        <f t="shared" ref="D1415:D1420" si="72">"音楽大事典 / [岸辺成雄ほか編集] ; : set - 6 索引.-- 平凡社; 1981.10-1983.12."</f>
        <v>音楽大事典 / [岸辺成雄ほか編集] ; : set - 6 索引.-- 平凡社; 1981.10-1983.12.</v>
      </c>
      <c r="E1415" s="10" t="str">
        <f>"1 ア-オ"</f>
        <v>1 ア-オ</v>
      </c>
      <c r="F1415" s="28" t="s">
        <v>8</v>
      </c>
      <c r="G1415" s="29" t="str">
        <f>"R760.33/ｷｼ/1"</f>
        <v>R760.33/ｷｼ/1</v>
      </c>
      <c r="H1415" s="10" t="str">
        <f t="shared" ref="H1415:H1420" si="73">"1996/11/27"</f>
        <v>1996/11/27</v>
      </c>
      <c r="I1415" s="12">
        <v>9000</v>
      </c>
      <c r="J1415" s="12">
        <v>100</v>
      </c>
      <c r="K1415" s="10" t="str">
        <f t="shared" si="71"/>
        <v>1  和書</v>
      </c>
      <c r="L1415" s="13"/>
    </row>
    <row r="1416" spans="1:12" ht="24" x14ac:dyDescent="0.15">
      <c r="A1416" s="36">
        <v>1415</v>
      </c>
      <c r="B1416" s="3" t="s">
        <v>81</v>
      </c>
      <c r="C1416" s="10" t="str">
        <f>"0001339178"</f>
        <v>0001339178</v>
      </c>
      <c r="D1416" s="11" t="str">
        <f t="shared" si="72"/>
        <v>音楽大事典 / [岸辺成雄ほか編集] ; : set - 6 索引.-- 平凡社; 1981.10-1983.12.</v>
      </c>
      <c r="E1416" s="10" t="str">
        <f>"2 カ-サ"</f>
        <v>2 カ-サ</v>
      </c>
      <c r="F1416" s="28" t="s">
        <v>8</v>
      </c>
      <c r="G1416" s="29" t="str">
        <f>"R760.33/ｷｼ/2"</f>
        <v>R760.33/ｷｼ/2</v>
      </c>
      <c r="H1416" s="10" t="str">
        <f t="shared" si="73"/>
        <v>1996/11/27</v>
      </c>
      <c r="I1416" s="12">
        <v>9000</v>
      </c>
      <c r="J1416" s="12">
        <v>100</v>
      </c>
      <c r="K1416" s="10" t="str">
        <f t="shared" si="71"/>
        <v>1  和書</v>
      </c>
      <c r="L1416" s="13"/>
    </row>
    <row r="1417" spans="1:12" ht="24" x14ac:dyDescent="0.15">
      <c r="A1417" s="36">
        <v>1416</v>
      </c>
      <c r="B1417" s="3" t="s">
        <v>81</v>
      </c>
      <c r="C1417" s="10" t="str">
        <f>"0001339185"</f>
        <v>0001339185</v>
      </c>
      <c r="D1417" s="11" t="str">
        <f t="shared" si="72"/>
        <v>音楽大事典 / [岸辺成雄ほか編集] ; : set - 6 索引.-- 平凡社; 1981.10-1983.12.</v>
      </c>
      <c r="E1417" s="10" t="str">
        <f>"3 シ-テ"</f>
        <v>3 シ-テ</v>
      </c>
      <c r="F1417" s="28" t="s">
        <v>8</v>
      </c>
      <c r="G1417" s="29" t="str">
        <f>"R760.33/ｷｼ/3"</f>
        <v>R760.33/ｷｼ/3</v>
      </c>
      <c r="H1417" s="10" t="str">
        <f t="shared" si="73"/>
        <v>1996/11/27</v>
      </c>
      <c r="I1417" s="12">
        <v>9000</v>
      </c>
      <c r="J1417" s="12">
        <v>100</v>
      </c>
      <c r="K1417" s="10" t="str">
        <f t="shared" si="71"/>
        <v>1  和書</v>
      </c>
      <c r="L1417" s="13"/>
    </row>
    <row r="1418" spans="1:12" ht="24" x14ac:dyDescent="0.15">
      <c r="A1418" s="36">
        <v>1417</v>
      </c>
      <c r="B1418" s="3" t="s">
        <v>81</v>
      </c>
      <c r="C1418" s="10" t="str">
        <f>"0001339192"</f>
        <v>0001339192</v>
      </c>
      <c r="D1418" s="11" t="str">
        <f t="shared" si="72"/>
        <v>音楽大事典 / [岸辺成雄ほか編集] ; : set - 6 索引.-- 平凡社; 1981.10-1983.12.</v>
      </c>
      <c r="E1418" s="10" t="str">
        <f>"4 ト-フ"</f>
        <v>4 ト-フ</v>
      </c>
      <c r="F1418" s="28" t="s">
        <v>8</v>
      </c>
      <c r="G1418" s="29" t="str">
        <f>"R760.33/ｷｼ/4"</f>
        <v>R760.33/ｷｼ/4</v>
      </c>
      <c r="H1418" s="10" t="str">
        <f t="shared" si="73"/>
        <v>1996/11/27</v>
      </c>
      <c r="I1418" s="12">
        <v>9000</v>
      </c>
      <c r="J1418" s="12">
        <v>100</v>
      </c>
      <c r="K1418" s="10" t="str">
        <f t="shared" si="71"/>
        <v>1  和書</v>
      </c>
      <c r="L1418" s="13"/>
    </row>
    <row r="1419" spans="1:12" ht="24" x14ac:dyDescent="0.15">
      <c r="A1419" s="36">
        <v>1418</v>
      </c>
      <c r="B1419" s="3" t="s">
        <v>81</v>
      </c>
      <c r="C1419" s="10" t="str">
        <f>"0001339208"</f>
        <v>0001339208</v>
      </c>
      <c r="D1419" s="11" t="str">
        <f t="shared" si="72"/>
        <v>音楽大事典 / [岸辺成雄ほか編集] ; : set - 6 索引.-- 平凡社; 1981.10-1983.12.</v>
      </c>
      <c r="E1419" s="10" t="str">
        <f>"5 ヘ-ワ"</f>
        <v>5 ヘ-ワ</v>
      </c>
      <c r="F1419" s="28" t="s">
        <v>8</v>
      </c>
      <c r="G1419" s="29" t="str">
        <f>"R760.33/ｷｼ/5"</f>
        <v>R760.33/ｷｼ/5</v>
      </c>
      <c r="H1419" s="10" t="str">
        <f t="shared" si="73"/>
        <v>1996/11/27</v>
      </c>
      <c r="I1419" s="12">
        <v>9000</v>
      </c>
      <c r="J1419" s="12">
        <v>100</v>
      </c>
      <c r="K1419" s="10" t="str">
        <f t="shared" si="71"/>
        <v>1  和書</v>
      </c>
      <c r="L1419" s="13"/>
    </row>
    <row r="1420" spans="1:12" ht="24" x14ac:dyDescent="0.15">
      <c r="A1420" s="36">
        <v>1419</v>
      </c>
      <c r="B1420" s="3" t="s">
        <v>81</v>
      </c>
      <c r="C1420" s="10" t="str">
        <f>"0001339215"</f>
        <v>0001339215</v>
      </c>
      <c r="D1420" s="11" t="str">
        <f t="shared" si="72"/>
        <v>音楽大事典 / [岸辺成雄ほか編集] ; : set - 6 索引.-- 平凡社; 1981.10-1983.12.</v>
      </c>
      <c r="E1420" s="10" t="str">
        <f>"6 索引"</f>
        <v>6 索引</v>
      </c>
      <c r="F1420" s="28" t="s">
        <v>8</v>
      </c>
      <c r="G1420" s="29" t="str">
        <f>"R760.33/ｷｼ/6"</f>
        <v>R760.33/ｷｼ/6</v>
      </c>
      <c r="H1420" s="10" t="str">
        <f t="shared" si="73"/>
        <v>1996/11/27</v>
      </c>
      <c r="I1420" s="12">
        <v>9000</v>
      </c>
      <c r="J1420" s="12">
        <v>100</v>
      </c>
      <c r="K1420" s="10" t="str">
        <f t="shared" si="71"/>
        <v>1  和書</v>
      </c>
      <c r="L1420" s="13"/>
    </row>
    <row r="1421" spans="1:12" ht="24" x14ac:dyDescent="0.15">
      <c r="A1421" s="36">
        <v>1420</v>
      </c>
      <c r="B1421" s="3" t="s">
        <v>81</v>
      </c>
      <c r="C1421" s="4" t="str">
        <f>"0001307030"</f>
        <v>0001307030</v>
      </c>
      <c r="D1421" s="5" t="str">
        <f>"音楽のエラボレーション / エドワード・W.サイード [著] ; 大橋洋一訳.-- みすず書房; 1995.12."</f>
        <v>音楽のエラボレーション / エドワード・W.サイード [著] ; 大橋洋一訳.-- みすず書房; 1995.12.</v>
      </c>
      <c r="E1421" s="4" t="str">
        <f>""</f>
        <v/>
      </c>
      <c r="F1421" s="26"/>
      <c r="G1421" s="27" t="str">
        <f>"760.4/ｻｲ"</f>
        <v>760.4/ｻｲ</v>
      </c>
      <c r="H1421" s="4" t="str">
        <f>"1996/02/24"</f>
        <v>1996/02/24</v>
      </c>
      <c r="I1421" s="6">
        <v>2039</v>
      </c>
      <c r="J1421" s="6">
        <v>100</v>
      </c>
      <c r="K1421" s="4" t="str">
        <f t="shared" si="71"/>
        <v>1  和書</v>
      </c>
      <c r="L1421" s="7"/>
    </row>
    <row r="1422" spans="1:12" ht="24" x14ac:dyDescent="0.15">
      <c r="A1422" s="36">
        <v>1421</v>
      </c>
      <c r="B1422" s="3" t="s">
        <v>81</v>
      </c>
      <c r="C1422" s="4" t="str">
        <f>"0002255927"</f>
        <v>0002255927</v>
      </c>
      <c r="D1422" s="5" t="str">
        <f>"The computer music tutorial / Curtis Roads ; with John Strawn ... [et al.] ; : hard, : pbk.-- MIT Press; c1996."</f>
        <v>The computer music tutorial / Curtis Roads ; with John Strawn ... [et al.] ; : hard, : pbk.-- MIT Press; c1996.</v>
      </c>
      <c r="E1422" s="4" t="str">
        <f>": pbk"</f>
        <v>: pbk</v>
      </c>
      <c r="F1422" s="26"/>
      <c r="G1422" s="27" t="str">
        <f>"760.7/RO"</f>
        <v>760.7/RO</v>
      </c>
      <c r="H1422" s="4" t="str">
        <f>"2000/06/12"</f>
        <v>2000/06/12</v>
      </c>
      <c r="I1422" s="6">
        <v>9289</v>
      </c>
      <c r="J1422" s="6">
        <v>100</v>
      </c>
      <c r="K1422" s="4" t="str">
        <f>"2  洋書"</f>
        <v>2  洋書</v>
      </c>
      <c r="L1422" s="7"/>
    </row>
    <row r="1423" spans="1:12" ht="24" x14ac:dyDescent="0.15">
      <c r="A1423" s="36">
        <v>1422</v>
      </c>
      <c r="B1423" s="3" t="s">
        <v>81</v>
      </c>
      <c r="C1423" s="4" t="str">
        <f>"0002770949"</f>
        <v>0002770949</v>
      </c>
      <c r="D1423" s="5" t="str">
        <f>"生命の暗号を聴く : 名曲に隠されたタンパク質の音楽 / 深川洋一著.-- 小学館; 2007.8."</f>
        <v>生命の暗号を聴く : 名曲に隠されたタンパク質の音楽 / 深川洋一著.-- 小学館; 2007.8.</v>
      </c>
      <c r="E1423" s="4" t="str">
        <f>""</f>
        <v/>
      </c>
      <c r="F1423" s="26"/>
      <c r="G1423" s="27" t="str">
        <f>"761.12/ﾌｶ"</f>
        <v>761.12/ﾌｶ</v>
      </c>
      <c r="H1423" s="4" t="str">
        <f>"2007/08/29"</f>
        <v>2007/08/29</v>
      </c>
      <c r="I1423" s="6">
        <v>1228</v>
      </c>
      <c r="J1423" s="6">
        <v>100</v>
      </c>
      <c r="K1423" s="4" t="str">
        <f>"1  和書"</f>
        <v>1  和書</v>
      </c>
      <c r="L1423" s="7"/>
    </row>
    <row r="1424" spans="1:12" ht="36" x14ac:dyDescent="0.15">
      <c r="A1424" s="36">
        <v>1423</v>
      </c>
      <c r="B1424" s="3" t="s">
        <v>81</v>
      </c>
      <c r="C1424" s="4" t="str">
        <f>"0002771908"</f>
        <v>0002771908</v>
      </c>
      <c r="D1424" s="5" t="str">
        <f>"音楽と楽器の音響測定 / 吉川茂, 鈴木英男編著 ; 大串健吾 [ほか] 共著.-- コロナ社; 2007.11.-- (音響テクノロジーシリーズ / 日本音響学会編 ; 13)."</f>
        <v>音楽と楽器の音響測定 / 吉川茂, 鈴木英男編著 ; 大串健吾 [ほか] 共著.-- コロナ社; 2007.11.-- (音響テクノロジーシリーズ / 日本音響学会編 ; 13).</v>
      </c>
      <c r="E1424" s="4" t="str">
        <f>""</f>
        <v/>
      </c>
      <c r="F1424" s="26"/>
      <c r="G1424" s="27" t="str">
        <f>"761.12/ﾖｼ"</f>
        <v>761.12/ﾖｼ</v>
      </c>
      <c r="H1424" s="4" t="str">
        <f>"2007/11/19"</f>
        <v>2007/11/19</v>
      </c>
      <c r="I1424" s="6">
        <v>4830</v>
      </c>
      <c r="J1424" s="6">
        <v>100</v>
      </c>
      <c r="K1424" s="4" t="str">
        <f>"1  和書"</f>
        <v>1  和書</v>
      </c>
      <c r="L1424" s="7"/>
    </row>
    <row r="1425" spans="1:12" ht="36" x14ac:dyDescent="0.15">
      <c r="A1425" s="36">
        <v>1424</v>
      </c>
      <c r="B1425" s="3" t="s">
        <v>81</v>
      </c>
      <c r="C1425" s="10" t="str">
        <f>"0001860184"</f>
        <v>0001860184</v>
      </c>
      <c r="D1425" s="11" t="str">
        <f>"The Arabesk debate : music and musicians in modern Turkey / Martin Stokes.-- Clarendon Press.-- (Oxford studies in social and cultural anthropology)."</f>
        <v>The Arabesk debate : music and musicians in modern Turkey / Martin Stokes.-- Clarendon Press.-- (Oxford studies in social and cultural anthropology).</v>
      </c>
      <c r="E1425" s="10" t="str">
        <f>""</f>
        <v/>
      </c>
      <c r="F1425" s="28" t="s">
        <v>8</v>
      </c>
      <c r="G1425" s="29" t="str">
        <f>"762.26/ST"</f>
        <v>762.26/ST</v>
      </c>
      <c r="H1425" s="10" t="str">
        <f>"1999/02/12"</f>
        <v>1999/02/12</v>
      </c>
      <c r="I1425" s="12">
        <v>10669</v>
      </c>
      <c r="J1425" s="14">
        <v>500</v>
      </c>
      <c r="K1425" s="10" t="str">
        <f>"2  洋書"</f>
        <v>2  洋書</v>
      </c>
      <c r="L1425" s="13"/>
    </row>
    <row r="1426" spans="1:12" ht="24" x14ac:dyDescent="0.15">
      <c r="A1426" s="36">
        <v>1425</v>
      </c>
      <c r="B1426" s="3" t="s">
        <v>81</v>
      </c>
      <c r="C1426" s="4" t="str">
        <f>"0002770994"</f>
        <v>0002770994</v>
      </c>
      <c r="D1426" s="5" t="str">
        <f>"楽器の物理学 / N.H. フレッチャー, T.D. ロッシング著 ; 岸憲史, 久保田秀美, 吉川茂訳.-- シュプリンガー・フェアラーク東京; 2002.10."</f>
        <v>楽器の物理学 / N.H. フレッチャー, T.D. ロッシング著 ; 岸憲史, 久保田秀美, 吉川茂訳.-- シュプリンガー・フェアラーク東京; 2002.10.</v>
      </c>
      <c r="E1426" s="4" t="str">
        <f>""</f>
        <v/>
      </c>
      <c r="F1426" s="26"/>
      <c r="G1426" s="27" t="str">
        <f>"763/ﾌﾚ"</f>
        <v>763/ﾌﾚ</v>
      </c>
      <c r="H1426" s="4" t="str">
        <f>"2007/08/29"</f>
        <v>2007/08/29</v>
      </c>
      <c r="I1426" s="6">
        <v>6142</v>
      </c>
      <c r="J1426" s="6">
        <v>100</v>
      </c>
      <c r="K1426" s="4" t="str">
        <f t="shared" ref="K1426:K1489" si="74">"1  和書"</f>
        <v>1  和書</v>
      </c>
      <c r="L1426" s="7"/>
    </row>
    <row r="1427" spans="1:12" ht="24" x14ac:dyDescent="0.15">
      <c r="A1427" s="36">
        <v>1426</v>
      </c>
      <c r="B1427" s="3" t="s">
        <v>81</v>
      </c>
      <c r="C1427" s="4" t="str">
        <f>"0002255392"</f>
        <v>0002255392</v>
      </c>
      <c r="D1427" s="5" t="str">
        <f>"コンピュータと音楽の世界 : 基礎からフロンティアまで / 長嶋洋一 [ほか] 編.-- 共立出版; 1999.8."</f>
        <v>コンピュータと音楽の世界 : 基礎からフロンティアまで / 長嶋洋一 [ほか] 編.-- 共立出版; 1999.8.</v>
      </c>
      <c r="E1427" s="4" t="str">
        <f>""</f>
        <v/>
      </c>
      <c r="F1427" s="26"/>
      <c r="G1427" s="27" t="str">
        <f>"763.9/ﾅｶﾞ"</f>
        <v>763.9/ﾅｶﾞ</v>
      </c>
      <c r="H1427" s="4" t="str">
        <f>"2000/05/26"</f>
        <v>2000/05/26</v>
      </c>
      <c r="I1427" s="6">
        <v>6237</v>
      </c>
      <c r="J1427" s="6">
        <v>100</v>
      </c>
      <c r="K1427" s="4" t="str">
        <f t="shared" si="74"/>
        <v>1  和書</v>
      </c>
      <c r="L1427" s="7"/>
    </row>
    <row r="1428" spans="1:12" ht="24" x14ac:dyDescent="0.15">
      <c r="A1428" s="36">
        <v>1427</v>
      </c>
      <c r="B1428" s="3" t="s">
        <v>81</v>
      </c>
      <c r="C1428" s="4" t="str">
        <f>"0002900902"</f>
        <v>0002900902</v>
      </c>
      <c r="D1428" s="5" t="str">
        <f>"アイデンティティの音楽 : メディア・若者・ポピュラー文化 / 渡辺潤著.-- 世界思想社; 2000.12."</f>
        <v>アイデンティティの音楽 : メディア・若者・ポピュラー文化 / 渡辺潤著.-- 世界思想社; 2000.12.</v>
      </c>
      <c r="E1428" s="4" t="str">
        <f>""</f>
        <v/>
      </c>
      <c r="F1428" s="26"/>
      <c r="G1428" s="27" t="str">
        <f>"764.3/ﾜﾀ"</f>
        <v>764.3/ﾜﾀ</v>
      </c>
      <c r="H1428" s="4" t="str">
        <f>"2006/05/01"</f>
        <v>2006/05/01</v>
      </c>
      <c r="I1428" s="6">
        <v>2268</v>
      </c>
      <c r="J1428" s="6">
        <v>100</v>
      </c>
      <c r="K1428" s="4" t="str">
        <f t="shared" si="74"/>
        <v>1  和書</v>
      </c>
      <c r="L1428" s="7"/>
    </row>
    <row r="1429" spans="1:12" ht="24" x14ac:dyDescent="0.15">
      <c r="A1429" s="36">
        <v>1428</v>
      </c>
      <c r="B1429" s="3" t="s">
        <v>81</v>
      </c>
      <c r="C1429" s="4" t="str">
        <f>"0003128565"</f>
        <v>0003128565</v>
      </c>
      <c r="D1429" s="5" t="str">
        <f>"ロックミュージックの社会学 / 南田勝也著.-- 青弓社; 2001.8.-- (青弓社ライブラリー ; 18)."</f>
        <v>ロックミュージックの社会学 / 南田勝也著.-- 青弓社; 2001.8.-- (青弓社ライブラリー ; 18).</v>
      </c>
      <c r="E1429" s="4" t="str">
        <f>""</f>
        <v/>
      </c>
      <c r="F1429" s="26"/>
      <c r="G1429" s="27" t="str">
        <f>"764.7/ﾐﾅ"</f>
        <v>764.7/ﾐﾅ</v>
      </c>
      <c r="H1429" s="4" t="str">
        <f>"2011/09/07"</f>
        <v>2011/09/07</v>
      </c>
      <c r="I1429" s="6">
        <v>1512</v>
      </c>
      <c r="J1429" s="6">
        <v>100</v>
      </c>
      <c r="K1429" s="4" t="str">
        <f t="shared" si="74"/>
        <v>1  和書</v>
      </c>
      <c r="L1429" s="7"/>
    </row>
    <row r="1430" spans="1:12" ht="24" x14ac:dyDescent="0.15">
      <c r="A1430" s="36">
        <v>1429</v>
      </c>
      <c r="B1430" s="3" t="s">
        <v>81</v>
      </c>
      <c r="C1430" s="4" t="str">
        <f>"0000982788"</f>
        <v>0000982788</v>
      </c>
      <c r="D1430" s="5" t="str">
        <f>"リヒャルト・ワーグナーの楽劇 / C・ダールハウス著 ; 好村富士彦, 小田智敏訳.-- 音楽之友社; 1995.3."</f>
        <v>リヒャルト・ワーグナーの楽劇 / C・ダールハウス著 ; 好村富士彦, 小田智敏訳.-- 音楽之友社; 1995.3.</v>
      </c>
      <c r="E1430" s="4" t="str">
        <f>""</f>
        <v/>
      </c>
      <c r="F1430" s="26"/>
      <c r="G1430" s="27" t="str">
        <f>"766.1/ﾀﾞﾙ"</f>
        <v>766.1/ﾀﾞﾙ</v>
      </c>
      <c r="H1430" s="4" t="str">
        <f>"1997/01/13"</f>
        <v>1997/01/13</v>
      </c>
      <c r="I1430" s="6">
        <v>1</v>
      </c>
      <c r="J1430" s="6">
        <v>100</v>
      </c>
      <c r="K1430" s="4" t="str">
        <f t="shared" si="74"/>
        <v>1  和書</v>
      </c>
      <c r="L1430" s="7"/>
    </row>
    <row r="1431" spans="1:12" ht="24" x14ac:dyDescent="0.15">
      <c r="A1431" s="36">
        <v>1430</v>
      </c>
      <c r="B1431" s="3" t="s">
        <v>82</v>
      </c>
      <c r="C1431" s="4" t="str">
        <f>"0001273694"</f>
        <v>0001273694</v>
      </c>
      <c r="D1431" s="5" t="str">
        <f>"「わざ」から知る / 生田久美子著 ; 佐伯胖補稿.-- 東京大学出版会; 1987.9.-- (認知科学選書 / 戸田正直 [ほか] 編集 ; 14)."</f>
        <v>「わざ」から知る / 生田久美子著 ; 佐伯胖補稿.-- 東京大学出版会; 1987.9.-- (認知科学選書 / 戸田正直 [ほか] 編集 ; 14).</v>
      </c>
      <c r="E1431" s="4" t="str">
        <f>""</f>
        <v/>
      </c>
      <c r="F1431" s="26"/>
      <c r="G1431" s="27" t="str">
        <f>"772.1/ｲｸ"</f>
        <v>772.1/ｲｸ</v>
      </c>
      <c r="H1431" s="4" t="str">
        <f>"1996/07/30"</f>
        <v>1996/07/30</v>
      </c>
      <c r="I1431" s="6">
        <v>2039</v>
      </c>
      <c r="J1431" s="6">
        <v>100</v>
      </c>
      <c r="K1431" s="4" t="str">
        <f t="shared" si="74"/>
        <v>1  和書</v>
      </c>
      <c r="L1431" s="7"/>
    </row>
    <row r="1432" spans="1:12" x14ac:dyDescent="0.15">
      <c r="A1432" s="36">
        <v>1431</v>
      </c>
      <c r="B1432" s="3" t="s">
        <v>82</v>
      </c>
      <c r="C1432" s="4" t="str">
        <f>"0000669191"</f>
        <v>0000669191</v>
      </c>
      <c r="D1432" s="5" t="str">
        <f>"朝鮮芸能史 / 李杜鉉著.-- 東京大学出版会; 1990.1.-- (東洋叢書 ; 6)."</f>
        <v>朝鮮芸能史 / 李杜鉉著.-- 東京大学出版会; 1990.1.-- (東洋叢書 ; 6).</v>
      </c>
      <c r="E1432" s="4" t="str">
        <f>""</f>
        <v/>
      </c>
      <c r="F1432" s="26"/>
      <c r="G1432" s="27" t="str">
        <f>"772.21/ｲ"</f>
        <v>772.21/ｲ</v>
      </c>
      <c r="H1432" s="4" t="str">
        <f>"1995/03/31"</f>
        <v>1995/03/31</v>
      </c>
      <c r="I1432" s="6">
        <v>2282</v>
      </c>
      <c r="J1432" s="6">
        <v>100</v>
      </c>
      <c r="K1432" s="4" t="str">
        <f t="shared" si="74"/>
        <v>1  和書</v>
      </c>
      <c r="L1432" s="7"/>
    </row>
    <row r="1433" spans="1:12" ht="24" x14ac:dyDescent="0.15">
      <c r="A1433" s="36">
        <v>1432</v>
      </c>
      <c r="B1433" s="3" t="s">
        <v>82</v>
      </c>
      <c r="C1433" s="4" t="str">
        <f>"0001076684"</f>
        <v>0001076684</v>
      </c>
      <c r="D1433" s="5" t="str">
        <f>"中世演劇の社会史 / グリン・ウィッカム [著] ; 山本浩訳.-- 筑摩書房; 1990.4."</f>
        <v>中世演劇の社会史 / グリン・ウィッカム [著] ; 山本浩訳.-- 筑摩書房; 1990.4.</v>
      </c>
      <c r="E1433" s="4" t="str">
        <f>""</f>
        <v/>
      </c>
      <c r="F1433" s="26"/>
      <c r="G1433" s="27" t="str">
        <f>"772.3/ｳｲ"</f>
        <v>772.3/ｳｲ</v>
      </c>
      <c r="H1433" s="4" t="str">
        <f>"1996/03/29"</f>
        <v>1996/03/29</v>
      </c>
      <c r="I1433" s="6">
        <v>2755</v>
      </c>
      <c r="J1433" s="6">
        <v>100</v>
      </c>
      <c r="K1433" s="4" t="str">
        <f t="shared" si="74"/>
        <v>1  和書</v>
      </c>
      <c r="L1433" s="7"/>
    </row>
    <row r="1434" spans="1:12" ht="24" x14ac:dyDescent="0.15">
      <c r="A1434" s="36">
        <v>1433</v>
      </c>
      <c r="B1434" s="3" t="s">
        <v>82</v>
      </c>
      <c r="C1434" s="4" t="str">
        <f>"0003520161"</f>
        <v>0003520161</v>
      </c>
      <c r="D1434" s="5" t="str">
        <f>"宝塚というユートピア / 川崎賢子著.-- 岩波書店; 2005.3.-- (岩波新書 ; 新赤版 940)."</f>
        <v>宝塚というユートピア / 川崎賢子著.-- 岩波書店; 2005.3.-- (岩波新書 ; 新赤版 940).</v>
      </c>
      <c r="E1434" s="4" t="str">
        <f>""</f>
        <v/>
      </c>
      <c r="F1434" s="26"/>
      <c r="G1434" s="27" t="str">
        <f>"775.4/ｶﾜ"</f>
        <v>775.4/ｶﾜ</v>
      </c>
      <c r="H1434" s="4" t="str">
        <f>"2016/05/06"</f>
        <v>2016/05/06</v>
      </c>
      <c r="I1434" s="6">
        <v>799</v>
      </c>
      <c r="J1434" s="6">
        <v>100</v>
      </c>
      <c r="K1434" s="4" t="str">
        <f t="shared" si="74"/>
        <v>1  和書</v>
      </c>
      <c r="L1434" s="7"/>
    </row>
    <row r="1435" spans="1:12" ht="24" x14ac:dyDescent="0.15">
      <c r="A1435" s="36">
        <v>1434</v>
      </c>
      <c r="B1435" s="3" t="s">
        <v>83</v>
      </c>
      <c r="C1435" s="4" t="str">
        <f>"0000916998"</f>
        <v>0000916998</v>
      </c>
      <c r="D1435" s="5" t="str">
        <f>"映画記号学の諸問題 / クリスチャン・メッツ著 ; 浅沼圭司監訳.-- 書肆風の薔薇.-- (叢書記号学的実践 ; 8)."</f>
        <v>映画記号学の諸問題 / クリスチャン・メッツ著 ; 浅沼圭司監訳.-- 書肆風の薔薇.-- (叢書記号学的実践 ; 8).</v>
      </c>
      <c r="E1435" s="4" t="str">
        <f>""</f>
        <v/>
      </c>
      <c r="F1435" s="26"/>
      <c r="G1435" s="27" t="str">
        <f>"778.01/ﾒﾂ"</f>
        <v>778.01/ﾒﾂ</v>
      </c>
      <c r="H1435" s="4" t="str">
        <f>"1995/11/17"</f>
        <v>1995/11/17</v>
      </c>
      <c r="I1435" s="6">
        <v>4171</v>
      </c>
      <c r="J1435" s="6">
        <v>100</v>
      </c>
      <c r="K1435" s="4" t="str">
        <f t="shared" si="74"/>
        <v>1  和書</v>
      </c>
      <c r="L1435" s="7"/>
    </row>
    <row r="1436" spans="1:12" ht="22.5" x14ac:dyDescent="0.15">
      <c r="A1436" s="36">
        <v>1435</v>
      </c>
      <c r="B1436" s="3" t="s">
        <v>84</v>
      </c>
      <c r="C1436" s="4" t="str">
        <f>"0001163322"</f>
        <v>0001163322</v>
      </c>
      <c r="D1436" s="5" t="str">
        <f>"スポーツ事故を考える / 木戸啓起著.-- 遊戯社; 1994.7."</f>
        <v>スポーツ事故を考える / 木戸啓起著.-- 遊戯社; 1994.7.</v>
      </c>
      <c r="E1436" s="4" t="str">
        <f>""</f>
        <v/>
      </c>
      <c r="F1436" s="26"/>
      <c r="G1436" s="27" t="str">
        <f>"780/ｷﾄﾞ"</f>
        <v>780/ｷﾄﾞ</v>
      </c>
      <c r="H1436" s="4" t="str">
        <f>"1996/03/29"</f>
        <v>1996/03/29</v>
      </c>
      <c r="I1436" s="6">
        <v>1731</v>
      </c>
      <c r="J1436" s="6">
        <v>100</v>
      </c>
      <c r="K1436" s="4" t="str">
        <f t="shared" si="74"/>
        <v>1  和書</v>
      </c>
      <c r="L1436" s="7"/>
    </row>
    <row r="1437" spans="1:12" ht="24" x14ac:dyDescent="0.15">
      <c r="A1437" s="36">
        <v>1436</v>
      </c>
      <c r="B1437" s="3" t="s">
        <v>84</v>
      </c>
      <c r="C1437" s="4" t="str">
        <f>"0000563079"</f>
        <v>0000563079</v>
      </c>
      <c r="D1437" s="5" t="str">
        <f>"エアロビクス・ウエイ / ケネス・H.クーパー著 ; 原礼之助訳.-- ベースボール・マガジン社; 1983.4."</f>
        <v>エアロビクス・ウエイ / ケネス・H.クーパー著 ; 原礼之助訳.-- ベースボール・マガジン社; 1983.4.</v>
      </c>
      <c r="E1437" s="4" t="str">
        <f>""</f>
        <v/>
      </c>
      <c r="F1437" s="26"/>
      <c r="G1437" s="27" t="str">
        <f>"780.19/ｸﾊﾟ"</f>
        <v>780.19/ｸﾊﾟ</v>
      </c>
      <c r="H1437" s="4" t="str">
        <f>"1995/03/31"</f>
        <v>1995/03/31</v>
      </c>
      <c r="I1437" s="6">
        <v>820</v>
      </c>
      <c r="J1437" s="6">
        <v>100</v>
      </c>
      <c r="K1437" s="4" t="str">
        <f t="shared" si="74"/>
        <v>1  和書</v>
      </c>
      <c r="L1437" s="7"/>
    </row>
    <row r="1438" spans="1:12" ht="36" x14ac:dyDescent="0.15">
      <c r="A1438" s="36">
        <v>1437</v>
      </c>
      <c r="B1438" s="3" t="s">
        <v>84</v>
      </c>
      <c r="C1438" s="4" t="str">
        <f>"0000576956"</f>
        <v>0000576956</v>
      </c>
      <c r="D1438" s="5" t="str">
        <f>"ランニングのための完全なエアロビクス : エアロビック運動中の心臓発作と突然死の予防法 / ケネス・H. クーパー著 ; 小林義雄訳.-- ベースボール・マガジン社; 1989.10."</f>
        <v>ランニングのための完全なエアロビクス : エアロビック運動中の心臓発作と突然死の予防法 / ケネス・H. クーパー著 ; 小林義雄訳.-- ベースボール・マガジン社; 1989.10.</v>
      </c>
      <c r="E1438" s="4" t="str">
        <f>""</f>
        <v/>
      </c>
      <c r="F1438" s="26"/>
      <c r="G1438" s="27" t="str">
        <f>"780.19/ｸﾊﾟ"</f>
        <v>780.19/ｸﾊﾟ</v>
      </c>
      <c r="H1438" s="4" t="str">
        <f>"1995/03/31"</f>
        <v>1995/03/31</v>
      </c>
      <c r="I1438" s="6">
        <v>2032</v>
      </c>
      <c r="J1438" s="6">
        <v>100</v>
      </c>
      <c r="K1438" s="4" t="str">
        <f t="shared" si="74"/>
        <v>1  和書</v>
      </c>
      <c r="L1438" s="7"/>
    </row>
    <row r="1439" spans="1:12" ht="24" x14ac:dyDescent="0.15">
      <c r="A1439" s="36">
        <v>1438</v>
      </c>
      <c r="B1439" s="3" t="s">
        <v>84</v>
      </c>
      <c r="C1439" s="10" t="str">
        <f>"0000563338"</f>
        <v>0000563338</v>
      </c>
      <c r="D1439" s="11" t="str">
        <f>"現代社会における健康と運動 / 竹本正男, 稲垣安二監修 ; 正木健雄 [ほか] 執筆.-- 共栄出版; 1986.4."</f>
        <v>現代社会における健康と運動 / 竹本正男, 稲垣安二監修 ; 正木健雄 [ほか] 執筆.-- 共栄出版; 1986.4.</v>
      </c>
      <c r="E1439" s="10" t="str">
        <f>""</f>
        <v/>
      </c>
      <c r="F1439" s="28" t="s">
        <v>8</v>
      </c>
      <c r="G1439" s="29" t="str">
        <f>"780.1/ﾀｹ"</f>
        <v>780.1/ﾀｹ</v>
      </c>
      <c r="H1439" s="10" t="str">
        <f>"1995/03/31"</f>
        <v>1995/03/31</v>
      </c>
      <c r="I1439" s="12">
        <v>2093</v>
      </c>
      <c r="J1439" s="12">
        <v>100</v>
      </c>
      <c r="K1439" s="10" t="str">
        <f t="shared" si="74"/>
        <v>1  和書</v>
      </c>
      <c r="L1439" s="13"/>
    </row>
    <row r="1440" spans="1:12" ht="24" x14ac:dyDescent="0.15">
      <c r="A1440" s="36">
        <v>1439</v>
      </c>
      <c r="B1440" s="3" t="s">
        <v>84</v>
      </c>
      <c r="C1440" s="4" t="str">
        <f>"0001071467"</f>
        <v>0001071467</v>
      </c>
      <c r="D1440" s="5" t="str">
        <f>"夢のオン・エア : 放送席から見たヒーローたちのドラマ / 島村俊治著.-- ベースボール・マガジン社; 1994.2."</f>
        <v>夢のオン・エア : 放送席から見たヒーローたちのドラマ / 島村俊治著.-- ベースボール・マガジン社; 1994.2.</v>
      </c>
      <c r="E1440" s="4" t="str">
        <f>""</f>
        <v/>
      </c>
      <c r="F1440" s="26"/>
      <c r="G1440" s="27" t="str">
        <f>"780.28/ｼﾏ"</f>
        <v>780.28/ｼﾏ</v>
      </c>
      <c r="H1440" s="4" t="str">
        <f>"1996/03/29"</f>
        <v>1996/03/29</v>
      </c>
      <c r="I1440" s="6">
        <v>1417</v>
      </c>
      <c r="J1440" s="6">
        <v>100</v>
      </c>
      <c r="K1440" s="4" t="str">
        <f t="shared" si="74"/>
        <v>1  和書</v>
      </c>
      <c r="L1440" s="7"/>
    </row>
    <row r="1441" spans="1:12" ht="24" x14ac:dyDescent="0.15">
      <c r="A1441" s="36">
        <v>1440</v>
      </c>
      <c r="B1441" s="3" t="s">
        <v>84</v>
      </c>
      <c r="C1441" s="4" t="str">
        <f>"0000589888"</f>
        <v>0000589888</v>
      </c>
      <c r="D1441" s="5" t="str">
        <f>"スポーツという文化 / サントリー不易流行研究所編.-- TBSブリタニカ; 1992.8."</f>
        <v>スポーツという文化 / サントリー不易流行研究所編.-- TBSブリタニカ; 1992.8.</v>
      </c>
      <c r="E1441" s="4" t="str">
        <f>""</f>
        <v/>
      </c>
      <c r="F1441" s="26"/>
      <c r="G1441" s="27" t="str">
        <f>"780.4/ｻﾝ"</f>
        <v>780.4/ｻﾝ</v>
      </c>
      <c r="H1441" s="4" t="str">
        <f>"1995/03/31"</f>
        <v>1995/03/31</v>
      </c>
      <c r="I1441" s="6">
        <v>1869</v>
      </c>
      <c r="J1441" s="6">
        <v>100</v>
      </c>
      <c r="K1441" s="4" t="str">
        <f t="shared" si="74"/>
        <v>1  和書</v>
      </c>
      <c r="L1441" s="7"/>
    </row>
    <row r="1442" spans="1:12" ht="24" x14ac:dyDescent="0.15">
      <c r="A1442" s="36">
        <v>1441</v>
      </c>
      <c r="B1442" s="3" t="s">
        <v>84</v>
      </c>
      <c r="C1442" s="4" t="str">
        <f>"0001301311"</f>
        <v>0001301311</v>
      </c>
      <c r="D1442" s="5" t="str">
        <f>"スポーツは誰のために : 21世紀への展望 / 関春南, 唐木國彦編.-- 大修館書店; 1995.8."</f>
        <v>スポーツは誰のために : 21世紀への展望 / 関春南, 唐木國彦編.-- 大修館書店; 1995.8.</v>
      </c>
      <c r="E1442" s="4" t="str">
        <f>""</f>
        <v/>
      </c>
      <c r="F1442" s="26"/>
      <c r="G1442" s="27" t="str">
        <f>"780.4/ｾｷ"</f>
        <v>780.4/ｾｷ</v>
      </c>
      <c r="H1442" s="4" t="str">
        <f>"1996/01/29"</f>
        <v>1996/01/29</v>
      </c>
      <c r="I1442" s="6">
        <v>2039</v>
      </c>
      <c r="J1442" s="6">
        <v>100</v>
      </c>
      <c r="K1442" s="4" t="str">
        <f t="shared" si="74"/>
        <v>1  和書</v>
      </c>
      <c r="L1442" s="7"/>
    </row>
    <row r="1443" spans="1:12" ht="22.5" x14ac:dyDescent="0.15">
      <c r="A1443" s="36">
        <v>1442</v>
      </c>
      <c r="B1443" s="3" t="s">
        <v>84</v>
      </c>
      <c r="C1443" s="4" t="str">
        <f>"0002456027"</f>
        <v>0002456027</v>
      </c>
      <c r="D1443" s="5" t="str">
        <f>"素晴らしきラジオ体操 / 高橋秀実著.-- 小学館; 1998.9."</f>
        <v>素晴らしきラジオ体操 / 高橋秀実著.-- 小学館; 1998.9.</v>
      </c>
      <c r="E1443" s="4" t="str">
        <f>""</f>
        <v/>
      </c>
      <c r="F1443" s="26"/>
      <c r="G1443" s="27" t="str">
        <f>"781.4/ﾀｶ"</f>
        <v>781.4/ﾀｶ</v>
      </c>
      <c r="H1443" s="4" t="str">
        <f>"2001/07/03"</f>
        <v>2001/07/03</v>
      </c>
      <c r="I1443" s="6">
        <v>1417</v>
      </c>
      <c r="J1443" s="6">
        <v>100</v>
      </c>
      <c r="K1443" s="4" t="str">
        <f t="shared" si="74"/>
        <v>1  和書</v>
      </c>
      <c r="L1443" s="7"/>
    </row>
    <row r="1444" spans="1:12" ht="24" x14ac:dyDescent="0.15">
      <c r="A1444" s="36">
        <v>1443</v>
      </c>
      <c r="B1444" s="3" t="s">
        <v>84</v>
      </c>
      <c r="C1444" s="4" t="str">
        <f>"0002914954"</f>
        <v>0002914954</v>
      </c>
      <c r="D1444" s="5" t="str">
        <f>"にっぽん野球の系譜学 / 坂上康博著.-- 青弓社; 2001.7.-- (青弓社ライブラリー ; 15)."</f>
        <v>にっぽん野球の系譜学 / 坂上康博著.-- 青弓社; 2001.7.-- (青弓社ライブラリー ; 15).</v>
      </c>
      <c r="E1444" s="4" t="str">
        <f>""</f>
        <v/>
      </c>
      <c r="F1444" s="26"/>
      <c r="G1444" s="27" t="str">
        <f>"783.7/ｻｶ"</f>
        <v>783.7/ｻｶ</v>
      </c>
      <c r="H1444" s="4" t="str">
        <f>"2007/03/30"</f>
        <v>2007/03/30</v>
      </c>
      <c r="I1444" s="6">
        <v>1512</v>
      </c>
      <c r="J1444" s="6">
        <v>100</v>
      </c>
      <c r="K1444" s="4" t="str">
        <f t="shared" si="74"/>
        <v>1  和書</v>
      </c>
      <c r="L1444" s="7"/>
    </row>
    <row r="1445" spans="1:12" ht="24" x14ac:dyDescent="0.15">
      <c r="A1445" s="36">
        <v>1444</v>
      </c>
      <c r="B1445" s="3" t="s">
        <v>84</v>
      </c>
      <c r="C1445" s="4" t="str">
        <f>"0001129144"</f>
        <v>0001129144</v>
      </c>
      <c r="D1445" s="5" t="str">
        <f>"海を渡った牛若丸 : 天才ショートの人生航路 / 吉田義男著.-- ベースボール・マガジン社; 1994.4.-- (野球殿堂シリーズ)."</f>
        <v>海を渡った牛若丸 : 天才ショートの人生航路 / 吉田義男著.-- ベースボール・マガジン社; 1994.4.-- (野球殿堂シリーズ).</v>
      </c>
      <c r="E1445" s="4" t="str">
        <f>""</f>
        <v/>
      </c>
      <c r="F1445" s="26"/>
      <c r="G1445" s="27" t="str">
        <f>"783.7/ﾖｼ"</f>
        <v>783.7/ﾖｼ</v>
      </c>
      <c r="H1445" s="4" t="str">
        <f>"1996/03/29"</f>
        <v>1996/03/29</v>
      </c>
      <c r="I1445" s="6">
        <v>1716</v>
      </c>
      <c r="J1445" s="6">
        <v>100</v>
      </c>
      <c r="K1445" s="4" t="str">
        <f t="shared" si="74"/>
        <v>1  和書</v>
      </c>
      <c r="L1445" s="7"/>
    </row>
    <row r="1446" spans="1:12" ht="24" x14ac:dyDescent="0.15">
      <c r="A1446" s="36">
        <v>1445</v>
      </c>
      <c r="B1446" s="3" t="s">
        <v>84</v>
      </c>
      <c r="C1446" s="4" t="str">
        <f>"0000574402"</f>
        <v>0000574402</v>
      </c>
      <c r="D1446" s="5" t="str">
        <f>"インナーゴルフ : 自然上達法から精神集中まで / ティモシー・ガルウェイ著 ; 後藤新弥訳.-- 日刊スポーツ出版社; 1982.10."</f>
        <v>インナーゴルフ : 自然上達法から精神集中まで / ティモシー・ガルウェイ著 ; 後藤新弥訳.-- 日刊スポーツ出版社; 1982.10.</v>
      </c>
      <c r="E1446" s="4" t="str">
        <f>""</f>
        <v/>
      </c>
      <c r="F1446" s="26"/>
      <c r="G1446" s="27" t="str">
        <f>"783.8/ｶﾞﾙ"</f>
        <v>783.8/ｶﾞﾙ</v>
      </c>
      <c r="H1446" s="4" t="str">
        <f>"1995/03/31"</f>
        <v>1995/03/31</v>
      </c>
      <c r="I1446" s="6">
        <v>821</v>
      </c>
      <c r="J1446" s="6">
        <v>100</v>
      </c>
      <c r="K1446" s="4" t="str">
        <f t="shared" si="74"/>
        <v>1  和書</v>
      </c>
      <c r="L1446" s="7"/>
    </row>
    <row r="1447" spans="1:12" ht="24" x14ac:dyDescent="0.15">
      <c r="A1447" s="36">
        <v>1446</v>
      </c>
      <c r="B1447" s="3" t="s">
        <v>84</v>
      </c>
      <c r="C1447" s="4" t="str">
        <f>"0000583312"</f>
        <v>0000583312</v>
      </c>
      <c r="D1447" s="5" t="str">
        <f>"ゲイリー・プレイヤー : 勝利者への条件 / ゲイリー・プレイヤー,マイケル・マクドネル著 ; 水谷準訳.-- ベースボール・マガジン社; 1992.6."</f>
        <v>ゲイリー・プレイヤー : 勝利者への条件 / ゲイリー・プレイヤー,マイケル・マクドネル著 ; 水谷準訳.-- ベースボール・マガジン社; 1992.6.</v>
      </c>
      <c r="E1447" s="4" t="str">
        <f>""</f>
        <v/>
      </c>
      <c r="F1447" s="26"/>
      <c r="G1447" s="27" t="str">
        <f>"783.8/ﾌﾟﾚ"</f>
        <v>783.8/ﾌﾟﾚ</v>
      </c>
      <c r="H1447" s="4" t="str">
        <f>"1995/03/31"</f>
        <v>1995/03/31</v>
      </c>
      <c r="I1447" s="6">
        <v>2276</v>
      </c>
      <c r="J1447" s="6">
        <v>100</v>
      </c>
      <c r="K1447" s="4" t="str">
        <f t="shared" si="74"/>
        <v>1  和書</v>
      </c>
      <c r="L1447" s="7"/>
    </row>
    <row r="1448" spans="1:12" ht="24" x14ac:dyDescent="0.15">
      <c r="A1448" s="36">
        <v>1447</v>
      </c>
      <c r="B1448" s="3" t="s">
        <v>84</v>
      </c>
      <c r="C1448" s="4" t="str">
        <f>"0000075572"</f>
        <v>0000075572</v>
      </c>
      <c r="D1448" s="5" t="str">
        <f>"東ドイツの水泳教程 / ゲルハルト・レビン著 ; 福岡孝純訳.-- ベースボール・マガジン社; 1986.4."</f>
        <v>東ドイツの水泳教程 / ゲルハルト・レビン著 ; 福岡孝純訳.-- ベースボール・マガジン社; 1986.4.</v>
      </c>
      <c r="E1448" s="4" t="str">
        <f>""</f>
        <v/>
      </c>
      <c r="F1448" s="26"/>
      <c r="G1448" s="27" t="str">
        <f>"785.2/ﾚﾋﾞ"</f>
        <v>785.2/ﾚﾋﾞ</v>
      </c>
      <c r="H1448" s="4" t="str">
        <f>"1994/03/31"</f>
        <v>1994/03/31</v>
      </c>
      <c r="I1448" s="6">
        <v>2987</v>
      </c>
      <c r="J1448" s="6">
        <v>100</v>
      </c>
      <c r="K1448" s="4" t="str">
        <f t="shared" si="74"/>
        <v>1  和書</v>
      </c>
      <c r="L1448" s="7"/>
    </row>
    <row r="1449" spans="1:12" ht="24" x14ac:dyDescent="0.15">
      <c r="A1449" s="36">
        <v>1448</v>
      </c>
      <c r="B1449" s="3" t="s">
        <v>84</v>
      </c>
      <c r="C1449" s="4" t="str">
        <f>"0000582872"</f>
        <v>0000582872</v>
      </c>
      <c r="D1449" s="5" t="str">
        <f>"トレンディ・ボクシング : あなたも手軽にできる / 豊嶋建広著.-- ベースボール・マガジン社; 1992.4."</f>
        <v>トレンディ・ボクシング : あなたも手軽にできる / 豊嶋建広著.-- ベースボール・マガジン社; 1992.4.</v>
      </c>
      <c r="E1449" s="4" t="str">
        <f>""</f>
        <v/>
      </c>
      <c r="F1449" s="26"/>
      <c r="G1449" s="27" t="str">
        <f>"788.3/ﾄﾖ"</f>
        <v>788.3/ﾄﾖ</v>
      </c>
      <c r="H1449" s="4" t="str">
        <f>"1995/03/31"</f>
        <v>1995/03/31</v>
      </c>
      <c r="I1449" s="6">
        <v>1463</v>
      </c>
      <c r="J1449" s="6">
        <v>100</v>
      </c>
      <c r="K1449" s="4" t="str">
        <f t="shared" si="74"/>
        <v>1  和書</v>
      </c>
      <c r="L1449" s="7"/>
    </row>
    <row r="1450" spans="1:12" ht="22.5" x14ac:dyDescent="0.15">
      <c r="A1450" s="36">
        <v>1449</v>
      </c>
      <c r="B1450" s="3" t="s">
        <v>84</v>
      </c>
      <c r="C1450" s="4" t="str">
        <f>"0000662444"</f>
        <v>0000662444</v>
      </c>
      <c r="D1450" s="5" t="str">
        <f>"柔道入門 / 山本秀雄著.-- 改訂新版.-- 東京書店; 1993.10."</f>
        <v>柔道入門 / 山本秀雄著.-- 改訂新版.-- 東京書店; 1993.10.</v>
      </c>
      <c r="E1450" s="4" t="str">
        <f>""</f>
        <v/>
      </c>
      <c r="F1450" s="26"/>
      <c r="G1450" s="27" t="str">
        <f>"789.2/ﾔﾏ"</f>
        <v>789.2/ﾔﾏ</v>
      </c>
      <c r="H1450" s="4" t="str">
        <f>"1995/03/31"</f>
        <v>1995/03/31</v>
      </c>
      <c r="I1450" s="6">
        <v>1382</v>
      </c>
      <c r="J1450" s="6">
        <v>100</v>
      </c>
      <c r="K1450" s="4" t="str">
        <f t="shared" si="74"/>
        <v>1  和書</v>
      </c>
      <c r="L1450" s="7"/>
    </row>
    <row r="1451" spans="1:12" x14ac:dyDescent="0.15">
      <c r="A1451" s="36">
        <v>1450</v>
      </c>
      <c r="B1451" s="3" t="s">
        <v>85</v>
      </c>
      <c r="C1451" s="4" t="str">
        <f>"0001697162"</f>
        <v>0001697162</v>
      </c>
      <c r="D1451" s="5" t="str">
        <f>"ゲームプログラミング / 松原仁, 竹内郁雄編.-- 共立出版; 1998.8."</f>
        <v>ゲームプログラミング / 松原仁, 竹内郁雄編.-- 共立出版; 1998.8.</v>
      </c>
      <c r="E1451" s="4" t="str">
        <f>""</f>
        <v/>
      </c>
      <c r="F1451" s="26"/>
      <c r="G1451" s="27" t="str">
        <f>"798/ﾏﾂ"</f>
        <v>798/ﾏﾂ</v>
      </c>
      <c r="H1451" s="4" t="str">
        <f>"1999/09/17"</f>
        <v>1999/09/17</v>
      </c>
      <c r="I1451" s="6">
        <v>3307</v>
      </c>
      <c r="J1451" s="6">
        <v>100</v>
      </c>
      <c r="K1451" s="4" t="str">
        <f t="shared" si="74"/>
        <v>1  和書</v>
      </c>
      <c r="L1451" s="7"/>
    </row>
    <row r="1452" spans="1:12" ht="36" x14ac:dyDescent="0.15">
      <c r="A1452" s="36">
        <v>1451</v>
      </c>
      <c r="B1452" s="3" t="s">
        <v>86</v>
      </c>
      <c r="C1452" s="4" t="str">
        <f>"0002097169"</f>
        <v>0002097169</v>
      </c>
      <c r="D1452" s="5" t="str">
        <f>"国家と秘儀 / ジュリア・クリステヴァ著 ; 枝川昌雄, 原田邦夫, 松島征訳.-- 勁草書房; 2000.9.-- (詩的言語の革命 / ジュリア・クリステヴァ著 ; 第3部)."</f>
        <v>国家と秘儀 / ジュリア・クリステヴァ著 ; 枝川昌雄, 原田邦夫, 松島征訳.-- 勁草書房; 2000.9.-- (詩的言語の革命 / ジュリア・クリステヴァ著 ; 第3部).</v>
      </c>
      <c r="E1452" s="4" t="str">
        <f>""</f>
        <v/>
      </c>
      <c r="F1452" s="26"/>
      <c r="G1452" s="27" t="str">
        <f>"801/ｸﾘ/3"</f>
        <v>801/ｸﾘ/3</v>
      </c>
      <c r="H1452" s="4" t="str">
        <f>"2001/01/19"</f>
        <v>2001/01/19</v>
      </c>
      <c r="I1452" s="6">
        <v>4723</v>
      </c>
      <c r="J1452" s="6">
        <v>100</v>
      </c>
      <c r="K1452" s="4" t="str">
        <f t="shared" si="74"/>
        <v>1  和書</v>
      </c>
      <c r="L1452" s="7"/>
    </row>
    <row r="1453" spans="1:12" ht="24" x14ac:dyDescent="0.15">
      <c r="A1453" s="36">
        <v>1452</v>
      </c>
      <c r="B1453" s="3" t="s">
        <v>86</v>
      </c>
      <c r="C1453" s="10" t="str">
        <f>"0001029864"</f>
        <v>0001029864</v>
      </c>
      <c r="D1453" s="11" t="str">
        <f>"言語科学への招待 / 郡司隆男著.-- 丸善; 1988.12.-- (Frontier technology series ; [023])."</f>
        <v>言語科学への招待 / 郡司隆男著.-- 丸善; 1988.12.-- (Frontier technology series ; [023]).</v>
      </c>
      <c r="E1453" s="10" t="str">
        <f>""</f>
        <v/>
      </c>
      <c r="F1453" s="28" t="s">
        <v>8</v>
      </c>
      <c r="G1453" s="29" t="str">
        <f>"801/ｸﾞﾝ"</f>
        <v>801/ｸﾞﾝ</v>
      </c>
      <c r="H1453" s="10" t="str">
        <f>"1996/03/29"</f>
        <v>1996/03/29</v>
      </c>
      <c r="I1453" s="12">
        <v>936</v>
      </c>
      <c r="J1453" s="12">
        <v>100</v>
      </c>
      <c r="K1453" s="10" t="str">
        <f t="shared" si="74"/>
        <v>1  和書</v>
      </c>
      <c r="L1453" s="13"/>
    </row>
    <row r="1454" spans="1:12" ht="24" x14ac:dyDescent="0.15">
      <c r="A1454" s="36">
        <v>1453</v>
      </c>
      <c r="B1454" s="3" t="s">
        <v>86</v>
      </c>
      <c r="C1454" s="4" t="str">
        <f>"0002750736"</f>
        <v>0002750736</v>
      </c>
      <c r="D1454" s="5" t="str">
        <f>"生成文法の企て / ノーム・チョムスキー [著] ; 福井直樹, 辻子美保子訳.-- 岩波書店; 2003.11."</f>
        <v>生成文法の企て / ノーム・チョムスキー [著] ; 福井直樹, 辻子美保子訳.-- 岩波書店; 2003.11.</v>
      </c>
      <c r="E1454" s="4" t="str">
        <f>""</f>
        <v/>
      </c>
      <c r="F1454" s="26"/>
      <c r="G1454" s="27" t="str">
        <f>"801/ﾁﾖ"</f>
        <v>801/ﾁﾖ</v>
      </c>
      <c r="H1454" s="4" t="str">
        <f>"2004/01/22"</f>
        <v>2004/01/22</v>
      </c>
      <c r="I1454" s="6">
        <v>3402</v>
      </c>
      <c r="J1454" s="6">
        <v>100</v>
      </c>
      <c r="K1454" s="4" t="str">
        <f t="shared" si="74"/>
        <v>1  和書</v>
      </c>
      <c r="L1454" s="7"/>
    </row>
    <row r="1455" spans="1:12" ht="24" x14ac:dyDescent="0.15">
      <c r="A1455" s="36">
        <v>1454</v>
      </c>
      <c r="B1455" s="3" t="s">
        <v>86</v>
      </c>
      <c r="C1455" s="10" t="str">
        <f>"0000915427"</f>
        <v>0000915427</v>
      </c>
      <c r="D1455" s="11" t="str">
        <f>"文化のインターフェイス : 境界・界面・越境 / 日本記号学会編.-- 東海大学出版会; 1988.5.-- (記号学研究 / 日本記号学会編 ; 7)."</f>
        <v>文化のインターフェイス : 境界・界面・越境 / 日本記号学会編.-- 東海大学出版会; 1988.5.-- (記号学研究 / 日本記号学会編 ; 7).</v>
      </c>
      <c r="E1455" s="10" t="str">
        <f>""</f>
        <v/>
      </c>
      <c r="F1455" s="28" t="s">
        <v>8</v>
      </c>
      <c r="G1455" s="29" t="str">
        <f>"801/ﾆﾎ"</f>
        <v>801/ﾆﾎ</v>
      </c>
      <c r="H1455" s="10" t="str">
        <f>"1995/11/14"</f>
        <v>1995/11/14</v>
      </c>
      <c r="I1455" s="12">
        <v>2317</v>
      </c>
      <c r="J1455" s="12">
        <v>100</v>
      </c>
      <c r="K1455" s="10" t="str">
        <f t="shared" si="74"/>
        <v>1  和書</v>
      </c>
      <c r="L1455" s="13"/>
    </row>
    <row r="1456" spans="1:12" ht="24" x14ac:dyDescent="0.15">
      <c r="A1456" s="36">
        <v>1455</v>
      </c>
      <c r="B1456" s="3" t="s">
        <v>86</v>
      </c>
      <c r="C1456" s="10" t="str">
        <f>"0001839418"</f>
        <v>0001839418</v>
      </c>
      <c r="D1456" s="11" t="str">
        <f>"記号学とは何か : メッセージと信号 / ルイ・プリエート [著] ; 丸山圭三郎訳.-- 新装復刊版.-- 白水社; 1998.6."</f>
        <v>記号学とは何か : メッセージと信号 / ルイ・プリエート [著] ; 丸山圭三郎訳.-- 新装復刊版.-- 白水社; 1998.6.</v>
      </c>
      <c r="E1456" s="10" t="str">
        <f>""</f>
        <v/>
      </c>
      <c r="F1456" s="28" t="s">
        <v>8</v>
      </c>
      <c r="G1456" s="29" t="str">
        <f>"801/ﾌﾟﾘ"</f>
        <v>801/ﾌﾟﾘ</v>
      </c>
      <c r="H1456" s="10" t="str">
        <f>"1998/08/26"</f>
        <v>1998/08/26</v>
      </c>
      <c r="I1456" s="12">
        <v>2646</v>
      </c>
      <c r="J1456" s="12">
        <v>100</v>
      </c>
      <c r="K1456" s="10" t="str">
        <f t="shared" si="74"/>
        <v>1  和書</v>
      </c>
      <c r="L1456" s="13"/>
    </row>
    <row r="1457" spans="1:12" ht="24" x14ac:dyDescent="0.15">
      <c r="A1457" s="36">
        <v>1456</v>
      </c>
      <c r="B1457" s="3" t="s">
        <v>86</v>
      </c>
      <c r="C1457" s="4" t="str">
        <f>"0001297591"</f>
        <v>0001297591</v>
      </c>
      <c r="D1457" s="5" t="str">
        <f>"Handbook of logic and language / edited by Johan van Benthem, Alice ter Meulen ; : Elsevier, : MIT Press.-- Elsevier."</f>
        <v>Handbook of logic and language / edited by Johan van Benthem, Alice ter Meulen ; : Elsevier, : MIT Press.-- Elsevier.</v>
      </c>
      <c r="E1457" s="4" t="str">
        <f>": Elsevier"</f>
        <v>: Elsevier</v>
      </c>
      <c r="F1457" s="26"/>
      <c r="G1457" s="27" t="str">
        <f>"801/BE"</f>
        <v>801/BE</v>
      </c>
      <c r="H1457" s="4" t="str">
        <f>"1997/08/28"</f>
        <v>1997/08/28</v>
      </c>
      <c r="I1457" s="6">
        <v>23430</v>
      </c>
      <c r="J1457" s="8">
        <v>1000</v>
      </c>
      <c r="K1457" s="4" t="str">
        <f>"2  洋書"</f>
        <v>2  洋書</v>
      </c>
      <c r="L1457" s="7"/>
    </row>
    <row r="1458" spans="1:12" ht="24" x14ac:dyDescent="0.15">
      <c r="A1458" s="36">
        <v>1457</v>
      </c>
      <c r="B1458" s="3" t="s">
        <v>86</v>
      </c>
      <c r="C1458" s="4" t="str">
        <f>"0001053135"</f>
        <v>0001053135</v>
      </c>
      <c r="D1458" s="5" t="str">
        <f>"言語行為 : 言語哲学への試論 / J. R. サール著 ; 坂本百大, 土屋俊訳.-- 第6刷.-- 勁草書房; 1994.1.-- (双書プロブレーマタ ; 5)."</f>
        <v>言語行為 : 言語哲学への試論 / J. R. サール著 ; 坂本百大, 土屋俊訳.-- 第6刷.-- 勁草書房; 1994.1.-- (双書プロブレーマタ ; 5).</v>
      </c>
      <c r="E1458" s="4" t="str">
        <f>""</f>
        <v/>
      </c>
      <c r="F1458" s="26"/>
      <c r="G1458" s="27" t="str">
        <f>"801.01/ｻﾙ"</f>
        <v>801.01/ｻﾙ</v>
      </c>
      <c r="H1458" s="4" t="str">
        <f>"1996/03/29"</f>
        <v>1996/03/29</v>
      </c>
      <c r="I1458" s="6">
        <v>3567</v>
      </c>
      <c r="J1458" s="6">
        <v>100</v>
      </c>
      <c r="K1458" s="4" t="str">
        <f>"1  和書"</f>
        <v>1  和書</v>
      </c>
      <c r="L1458" s="7"/>
    </row>
    <row r="1459" spans="1:12" ht="24" x14ac:dyDescent="0.15">
      <c r="A1459" s="36">
        <v>1458</v>
      </c>
      <c r="B1459" s="3" t="s">
        <v>86</v>
      </c>
      <c r="C1459" s="10" t="str">
        <f>"0000537766"</f>
        <v>0000537766</v>
      </c>
      <c r="D1459" s="11" t="str">
        <f>"Metaphors we live by / George Lakoff and Mark Johnson ; : pbk.-- University of Chicago Press; c1980."</f>
        <v>Metaphors we live by / George Lakoff and Mark Johnson ; : pbk.-- University of Chicago Press; c1980.</v>
      </c>
      <c r="E1459" s="10" t="str">
        <f>": pbk"</f>
        <v>: pbk</v>
      </c>
      <c r="F1459" s="28" t="s">
        <v>8</v>
      </c>
      <c r="G1459" s="29" t="str">
        <f>"801.01/LA"</f>
        <v>801.01/LA</v>
      </c>
      <c r="H1459" s="10" t="str">
        <f>"1995/03/06"</f>
        <v>1995/03/06</v>
      </c>
      <c r="I1459" s="12">
        <v>2030</v>
      </c>
      <c r="J1459" s="12">
        <v>100</v>
      </c>
      <c r="K1459" s="10" t="str">
        <f>"2  洋書"</f>
        <v>2  洋書</v>
      </c>
      <c r="L1459" s="13"/>
    </row>
    <row r="1460" spans="1:12" x14ac:dyDescent="0.15">
      <c r="A1460" s="36">
        <v>1459</v>
      </c>
      <c r="B1460" s="3" t="s">
        <v>86</v>
      </c>
      <c r="C1460" s="10" t="str">
        <f>"0000662581"</f>
        <v>0000662581</v>
      </c>
      <c r="D1460" s="11" t="str">
        <f>"社会言語学 / 真田信治 [ほか] 著.-- 3刷.-- 桜楓社; 1993.9."</f>
        <v>社会言語学 / 真田信治 [ほか] 著.-- 3刷.-- 桜楓社; 1993.9.</v>
      </c>
      <c r="E1460" s="10" t="str">
        <f>""</f>
        <v/>
      </c>
      <c r="F1460" s="28" t="s">
        <v>8</v>
      </c>
      <c r="G1460" s="29" t="str">
        <f>"801.03/ｻﾅ"</f>
        <v>801.03/ｻﾅ</v>
      </c>
      <c r="H1460" s="10" t="str">
        <f>"1995/03/31"</f>
        <v>1995/03/31</v>
      </c>
      <c r="I1460" s="12">
        <v>1707</v>
      </c>
      <c r="J1460" s="12">
        <v>100</v>
      </c>
      <c r="K1460" s="10" t="str">
        <f>"1  和書"</f>
        <v>1  和書</v>
      </c>
      <c r="L1460" s="13"/>
    </row>
    <row r="1461" spans="1:12" ht="24" x14ac:dyDescent="0.15">
      <c r="A1461" s="36">
        <v>1460</v>
      </c>
      <c r="B1461" s="3" t="s">
        <v>86</v>
      </c>
      <c r="C1461" s="4" t="str">
        <f>"0001095241"</f>
        <v>0001095241</v>
      </c>
      <c r="D1461" s="5" t="str">
        <f>"幼児言語における語順の心理学的研究 / 岩立志津夫著.-- 風間書房; 1994.2."</f>
        <v>幼児言語における語順の心理学的研究 / 岩立志津夫著.-- 風間書房; 1994.2.</v>
      </c>
      <c r="E1461" s="4" t="str">
        <f>""</f>
        <v/>
      </c>
      <c r="F1461" s="26"/>
      <c r="G1461" s="27" t="str">
        <f>"801.04/ｲﾜ"</f>
        <v>801.04/ｲﾜ</v>
      </c>
      <c r="H1461" s="4" t="str">
        <f>"1996/03/29"</f>
        <v>1996/03/29</v>
      </c>
      <c r="I1461" s="6">
        <v>9727</v>
      </c>
      <c r="J1461" s="6">
        <v>100</v>
      </c>
      <c r="K1461" s="4" t="str">
        <f>"1  和書"</f>
        <v>1  和書</v>
      </c>
      <c r="L1461" s="7"/>
    </row>
    <row r="1462" spans="1:12" x14ac:dyDescent="0.15">
      <c r="A1462" s="36">
        <v>1461</v>
      </c>
      <c r="B1462" s="3" t="s">
        <v>86</v>
      </c>
      <c r="C1462" s="10" t="str">
        <f>"0000575751"</f>
        <v>0000575751</v>
      </c>
      <c r="D1462" s="11" t="str">
        <f>"言語心理学 / 坂野登, 天野清著.-- 新読書社; 1993.4."</f>
        <v>言語心理学 / 坂野登, 天野清著.-- 新読書社; 1993.4.</v>
      </c>
      <c r="E1462" s="10" t="str">
        <f>""</f>
        <v/>
      </c>
      <c r="F1462" s="28" t="s">
        <v>8</v>
      </c>
      <c r="G1462" s="29" t="str">
        <f>"801.04/ｻｶ"</f>
        <v>801.04/ｻｶ</v>
      </c>
      <c r="H1462" s="10" t="str">
        <f>"1995/03/31"</f>
        <v>1995/03/31</v>
      </c>
      <c r="I1462" s="12">
        <v>2032</v>
      </c>
      <c r="J1462" s="12">
        <v>100</v>
      </c>
      <c r="K1462" s="10" t="str">
        <f>"1  和書"</f>
        <v>1  和書</v>
      </c>
      <c r="L1462" s="13"/>
    </row>
    <row r="1463" spans="1:12" ht="24" x14ac:dyDescent="0.15">
      <c r="A1463" s="36">
        <v>1462</v>
      </c>
      <c r="B1463" s="3" t="s">
        <v>86</v>
      </c>
      <c r="C1463" s="10" t="str">
        <f>"0000851725"</f>
        <v>0000851725</v>
      </c>
      <c r="D1463" s="11" t="str">
        <f>"Mental spaces : aspects of meaning construction in natural language / Gilles Fauconnier ; : hbk, : pbk.-- Cambridge University Press; 1994."</f>
        <v>Mental spaces : aspects of meaning construction in natural language / Gilles Fauconnier ; : hbk, : pbk.-- Cambridge University Press; 1994.</v>
      </c>
      <c r="E1463" s="10" t="str">
        <f>": hbk"</f>
        <v>: hbk</v>
      </c>
      <c r="F1463" s="28" t="s">
        <v>8</v>
      </c>
      <c r="G1463" s="29" t="str">
        <f>"801.4/FA"</f>
        <v>801.4/FA</v>
      </c>
      <c r="H1463" s="10" t="str">
        <f>"1995/06/15"</f>
        <v>1995/06/15</v>
      </c>
      <c r="I1463" s="12">
        <v>6489</v>
      </c>
      <c r="J1463" s="12">
        <v>100</v>
      </c>
      <c r="K1463" s="10" t="str">
        <f>"2  洋書"</f>
        <v>2  洋書</v>
      </c>
      <c r="L1463" s="13"/>
    </row>
    <row r="1464" spans="1:12" ht="24" x14ac:dyDescent="0.15">
      <c r="A1464" s="36">
        <v>1463</v>
      </c>
      <c r="B1464" s="3" t="s">
        <v>86</v>
      </c>
      <c r="C1464" s="10" t="str">
        <f>"0000957182"</f>
        <v>0000957182</v>
      </c>
      <c r="D1464" s="11" t="str">
        <f>"変形統語論 : チョムスキー拡大標準理論解説 / アンドリュー・ラドフォード著 ; 吉田正治訳.-- 研究社出版; 1984.8."</f>
        <v>変形統語論 : チョムスキー拡大標準理論解説 / アンドリュー・ラドフォード著 ; 吉田正治訳.-- 研究社出版; 1984.8.</v>
      </c>
      <c r="E1464" s="10" t="str">
        <f>""</f>
        <v/>
      </c>
      <c r="F1464" s="28" t="s">
        <v>8</v>
      </c>
      <c r="G1464" s="29" t="str">
        <f>"801.5/ﾗﾄﾞ"</f>
        <v>801.5/ﾗﾄﾞ</v>
      </c>
      <c r="H1464" s="10" t="str">
        <f>"1996/03/29"</f>
        <v>1996/03/29</v>
      </c>
      <c r="I1464" s="12">
        <v>3071</v>
      </c>
      <c r="J1464" s="12">
        <v>100</v>
      </c>
      <c r="K1464" s="10" t="str">
        <f>"1  和書"</f>
        <v>1  和書</v>
      </c>
      <c r="L1464" s="13"/>
    </row>
    <row r="1465" spans="1:12" ht="24" x14ac:dyDescent="0.15">
      <c r="A1465" s="36">
        <v>1464</v>
      </c>
      <c r="B1465" s="3" t="s">
        <v>86</v>
      </c>
      <c r="C1465" s="10" t="str">
        <f>"0000524698"</f>
        <v>0000524698</v>
      </c>
      <c r="D1465" s="11" t="str">
        <f>"言語学百科事典 / デイヴィッド・クリスタル著 ; 佐久間淳一 [ほか] 訳.-- 大修館書店; 1992.4."</f>
        <v>言語学百科事典 / デイヴィッド・クリスタル著 ; 佐久間淳一 [ほか] 訳.-- 大修館書店; 1992.4.</v>
      </c>
      <c r="E1465" s="10" t="str">
        <f>""</f>
        <v/>
      </c>
      <c r="F1465" s="28" t="s">
        <v>8</v>
      </c>
      <c r="G1465" s="29" t="str">
        <f>"R803.3/ｸﾘ"</f>
        <v>R803.3/ｸﾘ</v>
      </c>
      <c r="H1465" s="10" t="str">
        <f>"1994/12/19"</f>
        <v>1994/12/19</v>
      </c>
      <c r="I1465" s="12">
        <v>13905</v>
      </c>
      <c r="J1465" s="14">
        <v>500</v>
      </c>
      <c r="K1465" s="10" t="str">
        <f t="shared" si="74"/>
        <v>1  和書</v>
      </c>
      <c r="L1465" s="13"/>
    </row>
    <row r="1466" spans="1:12" ht="24" x14ac:dyDescent="0.15">
      <c r="A1466" s="36">
        <v>1465</v>
      </c>
      <c r="B1466" s="3" t="s">
        <v>86</v>
      </c>
      <c r="C1466" s="4" t="str">
        <f>"0001280883"</f>
        <v>0001280883</v>
      </c>
      <c r="D1466" s="5" t="str">
        <f>"言語を生みだす本能 / スティーブン・ピンカー著 ; 椋田直子訳 ; 上, 下.-- 日本放送出版協会; 1995.6-1995.7.-- (NHKブックス ; 740-741)."</f>
        <v>言語を生みだす本能 / スティーブン・ピンカー著 ; 椋田直子訳 ; 上, 下.-- 日本放送出版協会; 1995.6-1995.7.-- (NHKブックス ; 740-741).</v>
      </c>
      <c r="E1466" s="4" t="str">
        <f>"下"</f>
        <v>下</v>
      </c>
      <c r="F1466" s="26"/>
      <c r="G1466" s="27" t="str">
        <f>"804/ﾋﾟﾝ/2"</f>
        <v>804/ﾋﾟﾝ/2</v>
      </c>
      <c r="H1466" s="4" t="str">
        <f>"1996/12/04"</f>
        <v>1996/12/04</v>
      </c>
      <c r="I1466" s="6">
        <v>1170</v>
      </c>
      <c r="J1466" s="6">
        <v>100</v>
      </c>
      <c r="K1466" s="4" t="str">
        <f t="shared" si="74"/>
        <v>1  和書</v>
      </c>
      <c r="L1466" s="7"/>
    </row>
    <row r="1467" spans="1:12" ht="24" x14ac:dyDescent="0.15">
      <c r="A1467" s="36">
        <v>1466</v>
      </c>
      <c r="B1467" s="3" t="s">
        <v>86</v>
      </c>
      <c r="C1467" s="4" t="str">
        <f>"0001660623"</f>
        <v>0001660623</v>
      </c>
      <c r="D1467" s="5" t="str">
        <f>"言語の科学入門 / 松本裕治 [ほか] 著.-- 岩波書店; 1997.10.-- (岩波講座言語の科学 / 大津由紀雄 [ほか] 編 ; 1)."</f>
        <v>言語の科学入門 / 松本裕治 [ほか] 著.-- 岩波書店; 1997.10.-- (岩波講座言語の科学 / 大津由紀雄 [ほか] 編 ; 1).</v>
      </c>
      <c r="E1467" s="4" t="str">
        <f>""</f>
        <v/>
      </c>
      <c r="F1467" s="26"/>
      <c r="G1467" s="27" t="str">
        <f>"808/ｲﾜ/1"</f>
        <v>808/ｲﾜ/1</v>
      </c>
      <c r="H1467" s="4" t="str">
        <f>"1997/11/25"</f>
        <v>1997/11/25</v>
      </c>
      <c r="I1467" s="6">
        <v>3213</v>
      </c>
      <c r="J1467" s="6">
        <v>100</v>
      </c>
      <c r="K1467" s="4" t="str">
        <f t="shared" si="74"/>
        <v>1  和書</v>
      </c>
      <c r="L1467" s="7"/>
    </row>
    <row r="1468" spans="1:12" ht="24" x14ac:dyDescent="0.15">
      <c r="A1468" s="36">
        <v>1467</v>
      </c>
      <c r="B1468" s="3" t="s">
        <v>86</v>
      </c>
      <c r="C1468" s="4" t="str">
        <f>"0001672992"</f>
        <v>0001672992</v>
      </c>
      <c r="D1468" s="5" t="str">
        <f>"音声 / 田窪行則 [ほか] 著.-- 岩波書店; 1998.5.-- (岩波講座言語の科学 / 大津由紀雄 [ほか] 編 ; 2)."</f>
        <v>音声 / 田窪行則 [ほか] 著.-- 岩波書店; 1998.5.-- (岩波講座言語の科学 / 大津由紀雄 [ほか] 編 ; 2).</v>
      </c>
      <c r="E1468" s="4" t="str">
        <f>""</f>
        <v/>
      </c>
      <c r="F1468" s="26"/>
      <c r="G1468" s="27" t="str">
        <f>"808/ｲﾜ/2"</f>
        <v>808/ｲﾜ/2</v>
      </c>
      <c r="H1468" s="4" t="str">
        <f>"1998/06/01"</f>
        <v>1998/06/01</v>
      </c>
      <c r="I1468" s="6">
        <v>3402</v>
      </c>
      <c r="J1468" s="6">
        <v>100</v>
      </c>
      <c r="K1468" s="4" t="str">
        <f t="shared" si="74"/>
        <v>1  和書</v>
      </c>
      <c r="L1468" s="7"/>
    </row>
    <row r="1469" spans="1:12" ht="24" x14ac:dyDescent="0.15">
      <c r="A1469" s="36">
        <v>1468</v>
      </c>
      <c r="B1469" s="3" t="s">
        <v>86</v>
      </c>
      <c r="C1469" s="4" t="str">
        <f>"0001662740"</f>
        <v>0001662740</v>
      </c>
      <c r="D1469" s="5" t="str">
        <f>"単語と辞書 / 松本裕治 [ほか] 著.-- 岩波書店; 1997.12.-- (岩波講座言語の科学 / 大津由紀雄 [ほか] 編 ; 3)."</f>
        <v>単語と辞書 / 松本裕治 [ほか] 著.-- 岩波書店; 1997.12.-- (岩波講座言語の科学 / 大津由紀雄 [ほか] 編 ; 3).</v>
      </c>
      <c r="E1469" s="4" t="str">
        <f>""</f>
        <v/>
      </c>
      <c r="F1469" s="26"/>
      <c r="G1469" s="27" t="str">
        <f>"808/ｲﾜ/3"</f>
        <v>808/ｲﾜ/3</v>
      </c>
      <c r="H1469" s="4" t="str">
        <f>"1998/01/05"</f>
        <v>1998/01/05</v>
      </c>
      <c r="I1469" s="6">
        <v>3213</v>
      </c>
      <c r="J1469" s="6">
        <v>100</v>
      </c>
      <c r="K1469" s="4" t="str">
        <f t="shared" si="74"/>
        <v>1  和書</v>
      </c>
      <c r="L1469" s="7"/>
    </row>
    <row r="1470" spans="1:12" ht="24" x14ac:dyDescent="0.15">
      <c r="A1470" s="36">
        <v>1469</v>
      </c>
      <c r="B1470" s="3" t="s">
        <v>86</v>
      </c>
      <c r="C1470" s="4" t="str">
        <f>"0001669404"</f>
        <v>0001669404</v>
      </c>
      <c r="D1470" s="5" t="str">
        <f>"意味 / 郡司隆男 [ほか] 著.-- 岩波書店; 1998.3.-- (岩波講座言語の科学 / 大津由紀雄 [ほか] 編 ; 4)."</f>
        <v>意味 / 郡司隆男 [ほか] 著.-- 岩波書店; 1998.3.-- (岩波講座言語の科学 / 大津由紀雄 [ほか] 編 ; 4).</v>
      </c>
      <c r="E1470" s="4" t="str">
        <f>""</f>
        <v/>
      </c>
      <c r="F1470" s="26"/>
      <c r="G1470" s="27" t="str">
        <f>"808/ｲﾜ/4"</f>
        <v>808/ｲﾜ/4</v>
      </c>
      <c r="H1470" s="4" t="str">
        <f>"1998/03/31"</f>
        <v>1998/03/31</v>
      </c>
      <c r="I1470" s="6">
        <v>3213</v>
      </c>
      <c r="J1470" s="6">
        <v>100</v>
      </c>
      <c r="K1470" s="4" t="str">
        <f t="shared" si="74"/>
        <v>1  和書</v>
      </c>
      <c r="L1470" s="7"/>
    </row>
    <row r="1471" spans="1:12" ht="24" x14ac:dyDescent="0.15">
      <c r="A1471" s="36">
        <v>1470</v>
      </c>
      <c r="B1471" s="3" t="s">
        <v>86</v>
      </c>
      <c r="C1471" s="4" t="str">
        <f>"0001662245"</f>
        <v>0001662245</v>
      </c>
      <c r="D1471" s="5" t="str">
        <f>"文法 / 益岡隆志 [ほか] 著.-- 岩波書店; 1997.11.-- (岩波講座言語の科学 / 大津由紀雄 [ほか] 編 ; 5)."</f>
        <v>文法 / 益岡隆志 [ほか] 著.-- 岩波書店; 1997.11.-- (岩波講座言語の科学 / 大津由紀雄 [ほか] 編 ; 5).</v>
      </c>
      <c r="E1471" s="4" t="str">
        <f>""</f>
        <v/>
      </c>
      <c r="F1471" s="26"/>
      <c r="G1471" s="27" t="str">
        <f>"808/ｲﾜ/5"</f>
        <v>808/ｲﾜ/5</v>
      </c>
      <c r="H1471" s="4" t="str">
        <f>"1997/12/15"</f>
        <v>1997/12/15</v>
      </c>
      <c r="I1471" s="6">
        <v>3213</v>
      </c>
      <c r="J1471" s="6">
        <v>100</v>
      </c>
      <c r="K1471" s="4" t="str">
        <f t="shared" si="74"/>
        <v>1  和書</v>
      </c>
      <c r="L1471" s="7"/>
    </row>
    <row r="1472" spans="1:12" ht="24" x14ac:dyDescent="0.15">
      <c r="A1472" s="36">
        <v>1471</v>
      </c>
      <c r="B1472" s="3" t="s">
        <v>86</v>
      </c>
      <c r="C1472" s="4" t="str">
        <f>"0001663648"</f>
        <v>0001663648</v>
      </c>
      <c r="D1472" s="5" t="str">
        <f>"生成文法 / 田窪行則 [ほか] 著.-- 岩波書店; 1998.1.-- (岩波講座言語の科学 / 大津由紀雄 [ほか] 編 ; 6)."</f>
        <v>生成文法 / 田窪行則 [ほか] 著.-- 岩波書店; 1998.1.-- (岩波講座言語の科学 / 大津由紀雄 [ほか] 編 ; 6).</v>
      </c>
      <c r="E1472" s="4" t="str">
        <f>""</f>
        <v/>
      </c>
      <c r="F1472" s="26"/>
      <c r="G1472" s="27" t="str">
        <f>"808/ｲﾜ/6"</f>
        <v>808/ｲﾜ/6</v>
      </c>
      <c r="H1472" s="4" t="str">
        <f>"1998/01/27"</f>
        <v>1998/01/27</v>
      </c>
      <c r="I1472" s="6">
        <v>3213</v>
      </c>
      <c r="J1472" s="6">
        <v>100</v>
      </c>
      <c r="K1472" s="4" t="str">
        <f t="shared" si="74"/>
        <v>1  和書</v>
      </c>
      <c r="L1472" s="7"/>
    </row>
    <row r="1473" spans="1:12" ht="24" x14ac:dyDescent="0.15">
      <c r="A1473" s="36">
        <v>1472</v>
      </c>
      <c r="B1473" s="3" t="s">
        <v>86</v>
      </c>
      <c r="C1473" s="4" t="str">
        <f>"0001690668"</f>
        <v>0001690668</v>
      </c>
      <c r="D1473" s="5" t="str">
        <f>"談話と文脈 / 田窪行則 [ほか] 著.-- 岩波書店; 1999.3.-- (岩波講座言語の科学 / 大津由紀雄 [ほか] 編 ; 7)."</f>
        <v>談話と文脈 / 田窪行則 [ほか] 著.-- 岩波書店; 1999.3.-- (岩波講座言語の科学 / 大津由紀雄 [ほか] 編 ; 7).</v>
      </c>
      <c r="E1473" s="4" t="str">
        <f>""</f>
        <v/>
      </c>
      <c r="F1473" s="26"/>
      <c r="G1473" s="27" t="str">
        <f>"808/ｲﾜ/7"</f>
        <v>808/ｲﾜ/7</v>
      </c>
      <c r="H1473" s="4" t="str">
        <f>"1999/03/29"</f>
        <v>1999/03/29</v>
      </c>
      <c r="I1473" s="6">
        <v>3213</v>
      </c>
      <c r="J1473" s="6">
        <v>100</v>
      </c>
      <c r="K1473" s="4" t="str">
        <f t="shared" si="74"/>
        <v>1  和書</v>
      </c>
      <c r="L1473" s="7"/>
    </row>
    <row r="1474" spans="1:12" ht="24" x14ac:dyDescent="0.15">
      <c r="A1474" s="36">
        <v>1473</v>
      </c>
      <c r="B1474" s="3" t="s">
        <v>86</v>
      </c>
      <c r="C1474" s="4" t="str">
        <f>"0001688177"</f>
        <v>0001688177</v>
      </c>
      <c r="D1474" s="5" t="str">
        <f>"言語の数理 / 長尾真 [ほか] 著.-- 岩波書店; 1999.1.-- (岩波講座言語の科学 / 大津由紀雄 [ほか] 編 ; 8)."</f>
        <v>言語の数理 / 長尾真 [ほか] 著.-- 岩波書店; 1999.1.-- (岩波講座言語の科学 / 大津由紀雄 [ほか] 編 ; 8).</v>
      </c>
      <c r="E1474" s="4" t="str">
        <f>""</f>
        <v/>
      </c>
      <c r="F1474" s="26"/>
      <c r="G1474" s="27" t="str">
        <f>"808/ｲﾜ/8"</f>
        <v>808/ｲﾜ/8</v>
      </c>
      <c r="H1474" s="4" t="str">
        <f>"1999/02/02"</f>
        <v>1999/02/02</v>
      </c>
      <c r="I1474" s="6">
        <v>3213</v>
      </c>
      <c r="J1474" s="6">
        <v>100</v>
      </c>
      <c r="K1474" s="4" t="str">
        <f t="shared" si="74"/>
        <v>1  和書</v>
      </c>
      <c r="L1474" s="7"/>
    </row>
    <row r="1475" spans="1:12" ht="24" x14ac:dyDescent="0.15">
      <c r="A1475" s="36">
        <v>1474</v>
      </c>
      <c r="B1475" s="3" t="s">
        <v>86</v>
      </c>
      <c r="C1475" s="4" t="str">
        <f>"0001666304"</f>
        <v>0001666304</v>
      </c>
      <c r="D1475" s="5" t="str">
        <f>"言語情報処理 / 長尾真 [ほか] 著.-- 岩波書店; 1998.2.-- (岩波講座言語の科学 / 大津由紀雄 [ほか] 編 ; 9)."</f>
        <v>言語情報処理 / 長尾真 [ほか] 著.-- 岩波書店; 1998.2.-- (岩波講座言語の科学 / 大津由紀雄 [ほか] 編 ; 9).</v>
      </c>
      <c r="E1475" s="4" t="str">
        <f>""</f>
        <v/>
      </c>
      <c r="F1475" s="26"/>
      <c r="G1475" s="27" t="str">
        <f>"808/ｲﾜ/9"</f>
        <v>808/ｲﾜ/9</v>
      </c>
      <c r="H1475" s="4" t="str">
        <f>"1998/02/26"</f>
        <v>1998/02/26</v>
      </c>
      <c r="I1475" s="6">
        <v>3213</v>
      </c>
      <c r="J1475" s="6">
        <v>100</v>
      </c>
      <c r="K1475" s="4" t="str">
        <f t="shared" si="74"/>
        <v>1  和書</v>
      </c>
      <c r="L1475" s="7"/>
    </row>
    <row r="1476" spans="1:12" ht="24" x14ac:dyDescent="0.15">
      <c r="A1476" s="36">
        <v>1475</v>
      </c>
      <c r="B1476" s="3" t="s">
        <v>86</v>
      </c>
      <c r="C1476" s="4" t="str">
        <f>"0001690149"</f>
        <v>0001690149</v>
      </c>
      <c r="D1476" s="5" t="str">
        <f>"言語の獲得と喪失 / 橋田浩一 [ほか] 著.-- 岩波書店; 1999.2.-- (岩波講座言語の科学 / 大津由紀雄 [ほか] 編 ; 10)."</f>
        <v>言語の獲得と喪失 / 橋田浩一 [ほか] 著.-- 岩波書店; 1999.2.-- (岩波講座言語の科学 / 大津由紀雄 [ほか] 編 ; 10).</v>
      </c>
      <c r="E1476" s="4" t="str">
        <f>""</f>
        <v/>
      </c>
      <c r="F1476" s="26"/>
      <c r="G1476" s="27" t="str">
        <f>"808/ｲﾜ/10"</f>
        <v>808/ｲﾜ/10</v>
      </c>
      <c r="H1476" s="4" t="str">
        <f>"1999/03/02"</f>
        <v>1999/03/02</v>
      </c>
      <c r="I1476" s="6">
        <v>3213</v>
      </c>
      <c r="J1476" s="6">
        <v>100</v>
      </c>
      <c r="K1476" s="4" t="str">
        <f t="shared" si="74"/>
        <v>1  和書</v>
      </c>
      <c r="L1476" s="7"/>
    </row>
    <row r="1477" spans="1:12" ht="24" x14ac:dyDescent="0.15">
      <c r="A1477" s="36">
        <v>1476</v>
      </c>
      <c r="B1477" s="3" t="s">
        <v>86</v>
      </c>
      <c r="C1477" s="4" t="str">
        <f>"0001678994"</f>
        <v>0001678994</v>
      </c>
      <c r="D1477" s="5" t="str">
        <f>"言語科学と関連領域 / 大津由紀雄 [ほか] 著.-- 岩波書店; 1998.9.-- (岩波講座言語の科学 / 大津由紀雄 [ほか] 編 ; 11)."</f>
        <v>言語科学と関連領域 / 大津由紀雄 [ほか] 著.-- 岩波書店; 1998.9.-- (岩波講座言語の科学 / 大津由紀雄 [ほか] 編 ; 11).</v>
      </c>
      <c r="E1477" s="4" t="str">
        <f>""</f>
        <v/>
      </c>
      <c r="F1477" s="26"/>
      <c r="G1477" s="27" t="str">
        <f>"808/ｲﾜ/11"</f>
        <v>808/ｲﾜ/11</v>
      </c>
      <c r="H1477" s="4" t="str">
        <f>"1998/09/24"</f>
        <v>1998/09/24</v>
      </c>
      <c r="I1477" s="6">
        <v>3213</v>
      </c>
      <c r="J1477" s="6">
        <v>100</v>
      </c>
      <c r="K1477" s="4" t="str">
        <f t="shared" si="74"/>
        <v>1  和書</v>
      </c>
      <c r="L1477" s="7"/>
    </row>
    <row r="1478" spans="1:12" ht="24" x14ac:dyDescent="0.15">
      <c r="A1478" s="36">
        <v>1477</v>
      </c>
      <c r="B1478" s="3" t="s">
        <v>86</v>
      </c>
      <c r="C1478" s="4" t="str">
        <f>"0001693553"</f>
        <v>0001693553</v>
      </c>
      <c r="D1478" s="5" t="str">
        <f>"言語学の方法 / 郡司隆男, 坂本勉著.-- 岩波書店; 1999.5.-- (現代言語学入門 ; 1)."</f>
        <v>言語学の方法 / 郡司隆男, 坂本勉著.-- 岩波書店; 1999.5.-- (現代言語学入門 ; 1).</v>
      </c>
      <c r="E1478" s="4" t="str">
        <f>""</f>
        <v/>
      </c>
      <c r="F1478" s="26"/>
      <c r="G1478" s="27" t="str">
        <f>"808/ｹﾞﾝ/1"</f>
        <v>808/ｹﾞﾝ/1</v>
      </c>
      <c r="H1478" s="4" t="str">
        <f>"1999/06/10"</f>
        <v>1999/06/10</v>
      </c>
      <c r="I1478" s="6">
        <v>2835</v>
      </c>
      <c r="J1478" s="6">
        <v>100</v>
      </c>
      <c r="K1478" s="4" t="str">
        <f t="shared" si="74"/>
        <v>1  和書</v>
      </c>
      <c r="L1478" s="7"/>
    </row>
    <row r="1479" spans="1:12" ht="24" x14ac:dyDescent="0.15">
      <c r="A1479" s="36">
        <v>1478</v>
      </c>
      <c r="B1479" s="3" t="s">
        <v>86</v>
      </c>
      <c r="C1479" s="4" t="str">
        <f>"0002258737"</f>
        <v>0002258737</v>
      </c>
      <c r="D1479" s="5" t="str">
        <f>"意味と文脈 / 金水敏, 今仁生美著.-- 岩波書店; 2000.3.-- (現代言語学入門 ; 4)."</f>
        <v>意味と文脈 / 金水敏, 今仁生美著.-- 岩波書店; 2000.3.-- (現代言語学入門 ; 4).</v>
      </c>
      <c r="E1479" s="4" t="str">
        <f>""</f>
        <v/>
      </c>
      <c r="F1479" s="26"/>
      <c r="G1479" s="27" t="str">
        <f>"808/ｹﾞﾝ/4"</f>
        <v>808/ｹﾞﾝ/4</v>
      </c>
      <c r="H1479" s="4" t="str">
        <f>"2000/09/19"</f>
        <v>2000/09/19</v>
      </c>
      <c r="I1479" s="6">
        <v>3024</v>
      </c>
      <c r="J1479" s="6">
        <v>100</v>
      </c>
      <c r="K1479" s="4" t="str">
        <f t="shared" si="74"/>
        <v>1  和書</v>
      </c>
      <c r="L1479" s="7"/>
    </row>
    <row r="1480" spans="1:12" x14ac:dyDescent="0.15">
      <c r="A1480" s="36">
        <v>1479</v>
      </c>
      <c r="B1480" s="3" t="s">
        <v>87</v>
      </c>
      <c r="C1480" s="4" t="str">
        <f>"0000305082"</f>
        <v>0000305082</v>
      </c>
      <c r="D1480" s="5" t="str">
        <f>"中世語 / 柳田征司編.-- 有精堂出版; 1980.12.-- (論集日本語研究 ; 13)."</f>
        <v>中世語 / 柳田征司編.-- 有精堂出版; 1980.12.-- (論集日本語研究 ; 13).</v>
      </c>
      <c r="E1480" s="4" t="str">
        <f>""</f>
        <v/>
      </c>
      <c r="F1480" s="26"/>
      <c r="G1480" s="27" t="str">
        <f>"810.24/ﾔﾅ"</f>
        <v>810.24/ﾔﾅ</v>
      </c>
      <c r="H1480" s="4" t="str">
        <f>"1994/03/31"</f>
        <v>1994/03/31</v>
      </c>
      <c r="I1480" s="6">
        <v>2383</v>
      </c>
      <c r="J1480" s="6">
        <v>100</v>
      </c>
      <c r="K1480" s="4" t="str">
        <f t="shared" si="74"/>
        <v>1  和書</v>
      </c>
      <c r="L1480" s="7"/>
    </row>
    <row r="1481" spans="1:12" x14ac:dyDescent="0.15">
      <c r="A1481" s="36">
        <v>1480</v>
      </c>
      <c r="B1481" s="3" t="s">
        <v>87</v>
      </c>
      <c r="C1481" s="4" t="str">
        <f>"0001030303"</f>
        <v>0001030303</v>
      </c>
      <c r="D1481" s="5" t="str">
        <f>"近代語研究 / 近代語学会編 ; 第1集 - 第15集.-- 武蔵野書院; 1965.9-."</f>
        <v>近代語研究 / 近代語学会編 ; 第1集 - 第15集.-- 武蔵野書院; 1965.9-.</v>
      </c>
      <c r="E1481" s="4" t="str">
        <f>"第9集"</f>
        <v>第9集</v>
      </c>
      <c r="F1481" s="26"/>
      <c r="G1481" s="27" t="str">
        <f>"810.25ｷﾝ9"</f>
        <v>810.25ｷﾝ9</v>
      </c>
      <c r="H1481" s="4" t="str">
        <f>"1996/03/29"</f>
        <v>1996/03/29</v>
      </c>
      <c r="I1481" s="6">
        <v>12870</v>
      </c>
      <c r="J1481" s="8">
        <v>500</v>
      </c>
      <c r="K1481" s="4" t="str">
        <f t="shared" si="74"/>
        <v>1  和書</v>
      </c>
      <c r="L1481" s="7"/>
    </row>
    <row r="1482" spans="1:12" ht="24" x14ac:dyDescent="0.15">
      <c r="A1482" s="36">
        <v>1481</v>
      </c>
      <c r="B1482" s="3" t="s">
        <v>87</v>
      </c>
      <c r="C1482" s="4" t="str">
        <f>"0001017915"</f>
        <v>0001017915</v>
      </c>
      <c r="D1482" s="5" t="str">
        <f>"日本語の展開 / 松村明著.-- 中央公論社; 1986.3.-- (日本語の世界 / 大野晋, 丸谷才一編 ; 2)."</f>
        <v>日本語の展開 / 松村明著.-- 中央公論社; 1986.3.-- (日本語の世界 / 大野晋, 丸谷才一編 ; 2).</v>
      </c>
      <c r="E1482" s="4" t="str">
        <f>""</f>
        <v/>
      </c>
      <c r="F1482" s="26"/>
      <c r="G1482" s="27" t="str">
        <f>"810.8/ｵｵ/2"</f>
        <v>810.8/ｵｵ/2</v>
      </c>
      <c r="H1482" s="4" t="str">
        <f>"1996/03/29"</f>
        <v>1996/03/29</v>
      </c>
      <c r="I1482" s="6">
        <v>1465</v>
      </c>
      <c r="J1482" s="6">
        <v>100</v>
      </c>
      <c r="K1482" s="4" t="str">
        <f t="shared" si="74"/>
        <v>1  和書</v>
      </c>
      <c r="L1482" s="7"/>
    </row>
    <row r="1483" spans="1:12" ht="24" x14ac:dyDescent="0.15">
      <c r="A1483" s="36">
        <v>1482</v>
      </c>
      <c r="B1483" s="3" t="s">
        <v>87</v>
      </c>
      <c r="C1483" s="4" t="str">
        <f>"0002679846"</f>
        <v>0002679846</v>
      </c>
      <c r="D1483" s="5" t="str">
        <f>"現代用語の基礎知識 / 自由国民社編 ; 1992年版 - 昭和編, 1948-1989.-- 自由国民社; [1948]-."</f>
        <v>現代用語の基礎知識 / 自由国民社編 ; 1992年版 - 昭和編, 1948-1989.-- 自由国民社; [1948]-.</v>
      </c>
      <c r="E1483" s="4" t="str">
        <f>"2005年版"</f>
        <v>2005年版</v>
      </c>
      <c r="F1483" s="26"/>
      <c r="G1483" s="27" t="str">
        <f>"R813.7/ｼﾞﾕ/05-1"</f>
        <v>R813.7/ｼﾞﾕ/05-1</v>
      </c>
      <c r="H1483" s="4" t="str">
        <f>"2005/02/04"</f>
        <v>2005/02/04</v>
      </c>
      <c r="I1483" s="6">
        <v>1080</v>
      </c>
      <c r="J1483" s="6">
        <v>100</v>
      </c>
      <c r="K1483" s="4" t="str">
        <f t="shared" si="74"/>
        <v>1  和書</v>
      </c>
      <c r="L1483" s="7"/>
    </row>
    <row r="1484" spans="1:12" ht="24" x14ac:dyDescent="0.15">
      <c r="A1484" s="36">
        <v>1483</v>
      </c>
      <c r="B1484" s="3" t="s">
        <v>87</v>
      </c>
      <c r="C1484" s="4" t="str">
        <f>"0002679853"</f>
        <v>0002679853</v>
      </c>
      <c r="D1484" s="5" t="str">
        <f>"現代用語の基礎知識 / 自由国民社編 ; 1992年版 - 昭和編, 1948-1989.-- 自由国民社; [1948]-."</f>
        <v>現代用語の基礎知識 / 自由国民社編 ; 1992年版 - 昭和編, 1948-1989.-- 自由国民社; [1948]-.</v>
      </c>
      <c r="E1484" s="5" t="str">
        <f>"2005年版 division B"</f>
        <v>2005年版 division B</v>
      </c>
      <c r="F1484" s="26"/>
      <c r="G1484" s="27" t="str">
        <f>"R813.7/ｼﾞﾕ/05-2"</f>
        <v>R813.7/ｼﾞﾕ/05-2</v>
      </c>
      <c r="H1484" s="4" t="str">
        <f>"2005/02/04"</f>
        <v>2005/02/04</v>
      </c>
      <c r="I1484" s="6">
        <v>1080</v>
      </c>
      <c r="J1484" s="6">
        <v>100</v>
      </c>
      <c r="K1484" s="4" t="str">
        <f t="shared" si="74"/>
        <v>1  和書</v>
      </c>
      <c r="L1484" s="7"/>
    </row>
    <row r="1485" spans="1:12" ht="24" x14ac:dyDescent="0.15">
      <c r="A1485" s="36">
        <v>1484</v>
      </c>
      <c r="B1485" s="3" t="s">
        <v>87</v>
      </c>
      <c r="C1485" s="10" t="str">
        <f>"0002083650"</f>
        <v>0002083650</v>
      </c>
      <c r="D1485" s="11" t="str">
        <f>"言語表現法講義 / 加藤典洋著.-- 岩波書店; 1996.10.-- (岩波テキストブックス)."</f>
        <v>言語表現法講義 / 加藤典洋著.-- 岩波書店; 1996.10.-- (岩波テキストブックス).</v>
      </c>
      <c r="E1485" s="10" t="str">
        <f>""</f>
        <v/>
      </c>
      <c r="F1485" s="28" t="s">
        <v>8</v>
      </c>
      <c r="G1485" s="29" t="str">
        <f>"816/ｶﾄ"</f>
        <v>816/ｶﾄ</v>
      </c>
      <c r="H1485" s="10" t="str">
        <f>"2000/08/31"</f>
        <v>2000/08/31</v>
      </c>
      <c r="I1485" s="12">
        <v>1827</v>
      </c>
      <c r="J1485" s="12">
        <v>100</v>
      </c>
      <c r="K1485" s="10" t="str">
        <f t="shared" si="74"/>
        <v>1  和書</v>
      </c>
      <c r="L1485" s="13"/>
    </row>
    <row r="1486" spans="1:12" ht="24" x14ac:dyDescent="0.15">
      <c r="A1486" s="36">
        <v>1485</v>
      </c>
      <c r="B1486" s="3" t="s">
        <v>87</v>
      </c>
      <c r="C1486" s="10" t="str">
        <f>"0000293808"</f>
        <v>0000293808</v>
      </c>
      <c r="D1486" s="11" t="str">
        <f>"レトリックの記号論 / 佐藤信夫 [著].-- 講談社; 1993.11.-- (講談社学術文庫 ; [1098])."</f>
        <v>レトリックの記号論 / 佐藤信夫 [著].-- 講談社; 1993.11.-- (講談社学術文庫 ; [1098]).</v>
      </c>
      <c r="E1486" s="10" t="str">
        <f>""</f>
        <v/>
      </c>
      <c r="F1486" s="28" t="s">
        <v>8</v>
      </c>
      <c r="G1486" s="29" t="str">
        <f>"816.2/ｻﾄ"</f>
        <v>816.2/ｻﾄ</v>
      </c>
      <c r="H1486" s="10" t="str">
        <f>"1994/03/31"</f>
        <v>1994/03/31</v>
      </c>
      <c r="I1486" s="12">
        <v>661</v>
      </c>
      <c r="J1486" s="12">
        <v>100</v>
      </c>
      <c r="K1486" s="10" t="str">
        <f t="shared" si="74"/>
        <v>1  和書</v>
      </c>
      <c r="L1486" s="13"/>
    </row>
    <row r="1487" spans="1:12" ht="24" x14ac:dyDescent="0.15">
      <c r="A1487" s="36">
        <v>1486</v>
      </c>
      <c r="B1487" s="3" t="s">
        <v>87</v>
      </c>
      <c r="C1487" s="4" t="str">
        <f>"0002494456"</f>
        <v>0002494456</v>
      </c>
      <c r="D1487" s="5" t="str">
        <f>"これから論文を書く若者のために : イントロ大切 何をやるのか どうしてやるのか 明確に ホ?♪ / 酒井聡樹著.-- 共立出版; 2002.5."</f>
        <v>これから論文を書く若者のために : イントロ大切 何をやるのか どうしてやるのか 明確に ホ?♪ / 酒井聡樹著.-- 共立出版; 2002.5.</v>
      </c>
      <c r="E1487" s="4" t="str">
        <f>""</f>
        <v/>
      </c>
      <c r="F1487" s="26"/>
      <c r="G1487" s="27" t="str">
        <f>"816.5/ｻｶ"</f>
        <v>816.5/ｻｶ</v>
      </c>
      <c r="H1487" s="4" t="str">
        <f>"2002/08/02"</f>
        <v>2002/08/02</v>
      </c>
      <c r="I1487" s="6">
        <v>2362</v>
      </c>
      <c r="J1487" s="6">
        <v>100</v>
      </c>
      <c r="K1487" s="4" t="str">
        <f t="shared" si="74"/>
        <v>1  和書</v>
      </c>
      <c r="L1487" s="7"/>
    </row>
    <row r="1488" spans="1:12" ht="24" x14ac:dyDescent="0.15">
      <c r="A1488" s="36">
        <v>1487</v>
      </c>
      <c r="B1488" s="3" t="s">
        <v>87</v>
      </c>
      <c r="C1488" s="4" t="str">
        <f>"0002256818"</f>
        <v>0002256818</v>
      </c>
      <c r="D1488" s="5" t="str">
        <f>"レポート・論文の書き方上級 / 櫻井雅夫著.-- 慶應義塾大学出版会; 1998.11."</f>
        <v>レポート・論文の書き方上級 / 櫻井雅夫著.-- 慶應義塾大学出版会; 1998.11.</v>
      </c>
      <c r="E1488" s="4" t="str">
        <f>""</f>
        <v/>
      </c>
      <c r="F1488" s="26"/>
      <c r="G1488" s="27" t="str">
        <f>"816.5/ｻｸ"</f>
        <v>816.5/ｻｸ</v>
      </c>
      <c r="H1488" s="4" t="str">
        <f>"2000/07/13"</f>
        <v>2000/07/13</v>
      </c>
      <c r="I1488" s="6">
        <v>1701</v>
      </c>
      <c r="J1488" s="6">
        <v>100</v>
      </c>
      <c r="K1488" s="4" t="str">
        <f t="shared" si="74"/>
        <v>1  和書</v>
      </c>
      <c r="L1488" s="7"/>
    </row>
    <row r="1489" spans="1:12" ht="24" x14ac:dyDescent="0.15">
      <c r="A1489" s="36">
        <v>1488</v>
      </c>
      <c r="B1489" s="3" t="s">
        <v>87</v>
      </c>
      <c r="C1489" s="4" t="str">
        <f>"0002672533"</f>
        <v>0002672533</v>
      </c>
      <c r="D1489" s="5" t="str">
        <f>"レポート・論文の書き方上級 / 櫻井雅夫著.-- 改訂版.-- 慶應義塾大学出版会; 2003.10."</f>
        <v>レポート・論文の書き方上級 / 櫻井雅夫著.-- 改訂版.-- 慶應義塾大学出版会; 2003.10.</v>
      </c>
      <c r="E1489" s="4" t="str">
        <f>""</f>
        <v/>
      </c>
      <c r="F1489" s="26"/>
      <c r="G1489" s="27" t="str">
        <f>"816.5/ｻｸ"</f>
        <v>816.5/ｻｸ</v>
      </c>
      <c r="H1489" s="4" t="str">
        <f>"2004/11/02"</f>
        <v>2004/11/02</v>
      </c>
      <c r="I1489" s="6">
        <v>1701</v>
      </c>
      <c r="J1489" s="6">
        <v>100</v>
      </c>
      <c r="K1489" s="4" t="str">
        <f t="shared" si="74"/>
        <v>1  和書</v>
      </c>
      <c r="L1489" s="7"/>
    </row>
    <row r="1490" spans="1:12" ht="24" x14ac:dyDescent="0.15">
      <c r="A1490" s="36">
        <v>1489</v>
      </c>
      <c r="B1490" s="3" t="s">
        <v>87</v>
      </c>
      <c r="C1490" s="10" t="str">
        <f>"0003129685"</f>
        <v>0003129685</v>
      </c>
      <c r="D1490" s="11" t="str">
        <f>"卒論を書こう : テーマ探しからスタイルまで / 栩木伸明著.-- 第2版.-- 三修社; 2006.9."</f>
        <v>卒論を書こう : テーマ探しからスタイルまで / 栩木伸明著.-- 第2版.-- 三修社; 2006.9.</v>
      </c>
      <c r="E1490" s="10" t="str">
        <f>""</f>
        <v/>
      </c>
      <c r="F1490" s="28" t="s">
        <v>8</v>
      </c>
      <c r="G1490" s="29" t="str">
        <f>"816.5/ﾄﾁ"</f>
        <v>816.5/ﾄﾁ</v>
      </c>
      <c r="H1490" s="10" t="str">
        <f>"2011/10/02"</f>
        <v>2011/10/02</v>
      </c>
      <c r="I1490" s="12">
        <v>2310</v>
      </c>
      <c r="J1490" s="12">
        <v>100</v>
      </c>
      <c r="K1490" s="10" t="str">
        <f t="shared" ref="K1490:K1553" si="75">"1  和書"</f>
        <v>1  和書</v>
      </c>
      <c r="L1490" s="13"/>
    </row>
    <row r="1491" spans="1:12" ht="24" x14ac:dyDescent="0.15">
      <c r="A1491" s="36">
        <v>1490</v>
      </c>
      <c r="B1491" s="3" t="s">
        <v>87</v>
      </c>
      <c r="C1491" s="10" t="str">
        <f>"0001087987"</f>
        <v>0001087987</v>
      </c>
      <c r="D1491" s="11" t="str">
        <f>"アメリカ式論文の書き方 / ロン・フライ著 ; 酒井一夫訳.-- 東京図書; 1994.2."</f>
        <v>アメリカ式論文の書き方 / ロン・フライ著 ; 酒井一夫訳.-- 東京図書; 1994.2.</v>
      </c>
      <c r="E1491" s="10" t="str">
        <f>""</f>
        <v/>
      </c>
      <c r="F1491" s="28" t="s">
        <v>8</v>
      </c>
      <c r="G1491" s="29" t="str">
        <f>"816.5/ﾌﾗ"</f>
        <v>816.5/ﾌﾗ</v>
      </c>
      <c r="H1491" s="10" t="str">
        <f>"1996/03/29"</f>
        <v>1996/03/29</v>
      </c>
      <c r="I1491" s="12">
        <v>1181</v>
      </c>
      <c r="J1491" s="12">
        <v>100</v>
      </c>
      <c r="K1491" s="10" t="str">
        <f t="shared" si="75"/>
        <v>1  和書</v>
      </c>
      <c r="L1491" s="13"/>
    </row>
    <row r="1492" spans="1:12" x14ac:dyDescent="0.15">
      <c r="A1492" s="36">
        <v>1491</v>
      </c>
      <c r="B1492" s="3" t="s">
        <v>88</v>
      </c>
      <c r="C1492" s="4" t="str">
        <f>"0002946313"</f>
        <v>0002946313</v>
      </c>
      <c r="D1492" s="5" t="str">
        <f>"字統 / 白川静著.-- 新訂, 普及版.-- 平凡社; 2007.6."</f>
        <v>字統 / 白川静著.-- 新訂, 普及版.-- 平凡社; 2007.6.</v>
      </c>
      <c r="E1492" s="4" t="str">
        <f>""</f>
        <v/>
      </c>
      <c r="F1492" s="26"/>
      <c r="G1492" s="27" t="str">
        <f>"R822.03/ｼﾗ"</f>
        <v>R822.03/ｼﾗ</v>
      </c>
      <c r="H1492" s="4" t="str">
        <f>"2009/08/24"</f>
        <v>2009/08/24</v>
      </c>
      <c r="I1492" s="6">
        <v>5670</v>
      </c>
      <c r="J1492" s="6">
        <v>100</v>
      </c>
      <c r="K1492" s="4" t="str">
        <f t="shared" si="75"/>
        <v>1  和書</v>
      </c>
      <c r="L1492" s="7"/>
    </row>
    <row r="1493" spans="1:12" ht="24" x14ac:dyDescent="0.15">
      <c r="A1493" s="36">
        <v>1492</v>
      </c>
      <c r="B1493" s="3" t="s">
        <v>88</v>
      </c>
      <c r="C1493" s="4" t="str">
        <f>"0000184618"</f>
        <v>0000184618</v>
      </c>
      <c r="D1493" s="5" t="str">
        <f>"中国語動詞の研究 / C.E.ヤーホントフ著 ; 橋本萬太郎訳.-- 白帝社; 1987.11.-- (中国語学研究叢書 ; 3)."</f>
        <v>中国語動詞の研究 / C.E.ヤーホントフ著 ; 橋本萬太郎訳.-- 白帝社; 1987.11.-- (中国語学研究叢書 ; 3).</v>
      </c>
      <c r="E1493" s="4" t="str">
        <f>""</f>
        <v/>
      </c>
      <c r="F1493" s="26"/>
      <c r="G1493" s="27" t="str">
        <f>"825.5/ﾔﾎ"</f>
        <v>825.5/ﾔﾎ</v>
      </c>
      <c r="H1493" s="4" t="str">
        <f>"1994/03/31"</f>
        <v>1994/03/31</v>
      </c>
      <c r="I1493" s="6">
        <v>5788</v>
      </c>
      <c r="J1493" s="6">
        <v>100</v>
      </c>
      <c r="K1493" s="4" t="str">
        <f t="shared" si="75"/>
        <v>1  和書</v>
      </c>
      <c r="L1493" s="7"/>
    </row>
    <row r="1494" spans="1:12" x14ac:dyDescent="0.15">
      <c r="A1494" s="36">
        <v>1493</v>
      </c>
      <c r="B1494" s="3" t="s">
        <v>89</v>
      </c>
      <c r="C1494" s="4" t="str">
        <f>"0002456430"</f>
        <v>0002456430</v>
      </c>
      <c r="D1494" s="5" t="str">
        <f>"図説英語史入門 / 中尾俊夫, 寺島廸子著.-- 大修館書店; 1988.6."</f>
        <v>図説英語史入門 / 中尾俊夫, 寺島廸子著.-- 大修館書店; 1988.6.</v>
      </c>
      <c r="E1494" s="4" t="str">
        <f>""</f>
        <v/>
      </c>
      <c r="F1494" s="26"/>
      <c r="G1494" s="27" t="str">
        <f>"830.2/ﾅｶ"</f>
        <v>830.2/ﾅｶ</v>
      </c>
      <c r="H1494" s="4" t="str">
        <f>"2001/07/16"</f>
        <v>2001/07/16</v>
      </c>
      <c r="I1494" s="6">
        <v>1795</v>
      </c>
      <c r="J1494" s="6">
        <v>100</v>
      </c>
      <c r="K1494" s="4" t="str">
        <f t="shared" si="75"/>
        <v>1  和書</v>
      </c>
      <c r="L1494" s="7"/>
    </row>
    <row r="1495" spans="1:12" ht="24" x14ac:dyDescent="0.15">
      <c r="A1495" s="36">
        <v>1494</v>
      </c>
      <c r="B1495" s="3" t="s">
        <v>89</v>
      </c>
      <c r="C1495" s="10" t="str">
        <f>"0001370560"</f>
        <v>0001370560</v>
      </c>
      <c r="D1495" s="11" t="str">
        <f>"現代人のための英語の常識百科 / 岩崎春雄, 忍足欣四郎, 小島義郎編.-- 研究社出版; 1988.1."</f>
        <v>現代人のための英語の常識百科 / 岩崎春雄, 忍足欣四郎, 小島義郎編.-- 研究社出版; 1988.1.</v>
      </c>
      <c r="E1495" s="10" t="str">
        <f>""</f>
        <v/>
      </c>
      <c r="F1495" s="28" t="s">
        <v>8</v>
      </c>
      <c r="G1495" s="29" t="str">
        <f>"830.7/ｲﾜ"</f>
        <v>830.7/ｲﾜ</v>
      </c>
      <c r="H1495" s="10" t="str">
        <f>"1997/07/31"</f>
        <v>1997/07/31</v>
      </c>
      <c r="I1495" s="12">
        <v>4128</v>
      </c>
      <c r="J1495" s="12">
        <v>100</v>
      </c>
      <c r="K1495" s="10" t="str">
        <f t="shared" si="75"/>
        <v>1  和書</v>
      </c>
      <c r="L1495" s="13"/>
    </row>
    <row r="1496" spans="1:12" x14ac:dyDescent="0.15">
      <c r="A1496" s="36">
        <v>1495</v>
      </c>
      <c r="B1496" s="3" t="s">
        <v>89</v>
      </c>
      <c r="C1496" s="4" t="str">
        <f>"0002629827"</f>
        <v>0002629827</v>
      </c>
      <c r="D1496" s="5" t="str">
        <f>"からだを揺さぶる英語入門 / 斎藤孝著.-- 角川書店; 2003.2."</f>
        <v>からだを揺さぶる英語入門 / 斎藤孝著.-- 角川書店; 2003.2.</v>
      </c>
      <c r="E1496" s="4" t="str">
        <f>""</f>
        <v/>
      </c>
      <c r="F1496" s="26"/>
      <c r="G1496" s="27" t="str">
        <f>"830.7/ｻｲ"</f>
        <v>830.7/ｻｲ</v>
      </c>
      <c r="H1496" s="4" t="str">
        <f>"2003/05/07"</f>
        <v>2003/05/07</v>
      </c>
      <c r="I1496" s="6">
        <v>1304</v>
      </c>
      <c r="J1496" s="6">
        <v>100</v>
      </c>
      <c r="K1496" s="4" t="str">
        <f t="shared" si="75"/>
        <v>1  和書</v>
      </c>
      <c r="L1496" s="7"/>
    </row>
    <row r="1497" spans="1:12" x14ac:dyDescent="0.15">
      <c r="A1497" s="36">
        <v>1496</v>
      </c>
      <c r="B1497" s="3" t="s">
        <v>89</v>
      </c>
      <c r="C1497" s="4" t="str">
        <f>"0000861151"</f>
        <v>0000861151</v>
      </c>
      <c r="D1497" s="5" t="str">
        <f>"新編英和活用大辞典 / 市川繁治郎編集代表.-- 研究社; 1995.7."</f>
        <v>新編英和活用大辞典 / 市川繁治郎編集代表.-- 研究社; 1995.7.</v>
      </c>
      <c r="E1497" s="4" t="str">
        <f>""</f>
        <v/>
      </c>
      <c r="F1497" s="26"/>
      <c r="G1497" s="27" t="str">
        <f>"R833/ｲﾁ"</f>
        <v>R833/ｲﾁ</v>
      </c>
      <c r="H1497" s="4" t="str">
        <f>"1995/07/17"</f>
        <v>1995/07/17</v>
      </c>
      <c r="I1497" s="6">
        <v>14830</v>
      </c>
      <c r="J1497" s="8">
        <v>500</v>
      </c>
      <c r="K1497" s="4" t="str">
        <f t="shared" si="75"/>
        <v>1  和書</v>
      </c>
      <c r="L1497" s="7"/>
    </row>
    <row r="1498" spans="1:12" x14ac:dyDescent="0.15">
      <c r="A1498" s="36">
        <v>1497</v>
      </c>
      <c r="B1498" s="3" t="s">
        <v>89</v>
      </c>
      <c r="C1498" s="4" t="str">
        <f>"0002104454"</f>
        <v>0002104454</v>
      </c>
      <c r="D1498" s="5" t="str">
        <f>"新編英和活用大辞典 / 市川繁治郎編集代表.-- 研究社; 1995.7."</f>
        <v>新編英和活用大辞典 / 市川繁治郎編集代表.-- 研究社; 1995.7.</v>
      </c>
      <c r="E1498" s="4" t="str">
        <f>""</f>
        <v/>
      </c>
      <c r="F1498" s="26"/>
      <c r="G1498" s="27" t="str">
        <f>"R833/ｲﾁ"</f>
        <v>R833/ｲﾁ</v>
      </c>
      <c r="H1498" s="4" t="str">
        <f>"1999/05/27"</f>
        <v>1999/05/27</v>
      </c>
      <c r="I1498" s="6">
        <v>15120</v>
      </c>
      <c r="J1498" s="8">
        <v>500</v>
      </c>
      <c r="K1498" s="4" t="str">
        <f t="shared" si="75"/>
        <v>1  和書</v>
      </c>
      <c r="L1498" s="7"/>
    </row>
    <row r="1499" spans="1:12" ht="24" x14ac:dyDescent="0.15">
      <c r="A1499" s="36">
        <v>1498</v>
      </c>
      <c r="B1499" s="3" t="s">
        <v>89</v>
      </c>
      <c r="C1499" s="4" t="str">
        <f>"0002765549"</f>
        <v>0002765549</v>
      </c>
      <c r="D1499" s="5" t="str">
        <f>"英辞郎 = Eijiro / Electronic Dictionary Project監修.-- 第2版.-- アルク; 2005.3."</f>
        <v>英辞郎 = Eijiro / Electronic Dictionary Project監修.-- 第2版.-- アルク; 2005.3.</v>
      </c>
      <c r="E1499" s="4" t="str">
        <f>""</f>
        <v/>
      </c>
      <c r="F1499" s="26"/>
      <c r="G1499" s="27" t="str">
        <f>"R833/ｴｲ"</f>
        <v>R833/ｴｲ</v>
      </c>
      <c r="H1499" s="4" t="str">
        <f>"2006/06/08"</f>
        <v>2006/06/08</v>
      </c>
      <c r="I1499" s="6">
        <v>2250</v>
      </c>
      <c r="J1499" s="6">
        <v>100</v>
      </c>
      <c r="K1499" s="4" t="str">
        <f t="shared" si="75"/>
        <v>1  和書</v>
      </c>
      <c r="L1499" s="7"/>
    </row>
    <row r="1500" spans="1:12" ht="24" x14ac:dyDescent="0.15">
      <c r="A1500" s="36">
        <v>1499</v>
      </c>
      <c r="B1500" s="3" t="s">
        <v>89</v>
      </c>
      <c r="C1500" s="4" t="str">
        <f>"0000861144"</f>
        <v>0000861144</v>
      </c>
      <c r="D1500" s="5" t="str">
        <f>"研究社新英和大辞典 / 小稲義男編集代表 ; : [並装], : 背革装, : 総革装.-- 第5版.-- 研究社; 1980.11."</f>
        <v>研究社新英和大辞典 / 小稲義男編集代表 ; : [並装], : 背革装, : 総革装.-- 第5版.-- 研究社; 1980.11.</v>
      </c>
      <c r="E1500" s="4" t="str">
        <f>": [並装]"</f>
        <v>: [並装]</v>
      </c>
      <c r="F1500" s="26"/>
      <c r="G1500" s="27" t="str">
        <f>"R833/ｺｲ"</f>
        <v>R833/ｺｲ</v>
      </c>
      <c r="H1500" s="4" t="str">
        <f>"1995/07/17"</f>
        <v>1995/07/17</v>
      </c>
      <c r="I1500" s="6">
        <v>12150</v>
      </c>
      <c r="J1500" s="8">
        <v>500</v>
      </c>
      <c r="K1500" s="4" t="str">
        <f t="shared" si="75"/>
        <v>1  和書</v>
      </c>
      <c r="L1500" s="7"/>
    </row>
    <row r="1501" spans="1:12" ht="24" x14ac:dyDescent="0.15">
      <c r="A1501" s="36">
        <v>1500</v>
      </c>
      <c r="B1501" s="3" t="s">
        <v>89</v>
      </c>
      <c r="C1501" s="4" t="str">
        <f>"0001294682"</f>
        <v>0001294682</v>
      </c>
      <c r="D1501" s="5" t="str">
        <f>"研究社新英和大辞典 / 小稲義男編集代表 ; : [並装], : 背革装, : 総革装.-- 第5版.-- 研究社; 1980.11."</f>
        <v>研究社新英和大辞典 / 小稲義男編集代表 ; : [並装], : 背革装, : 総革装.-- 第5版.-- 研究社; 1980.11.</v>
      </c>
      <c r="E1501" s="4" t="str">
        <f>": 背革装"</f>
        <v>: 背革装</v>
      </c>
      <c r="F1501" s="26"/>
      <c r="G1501" s="27" t="str">
        <f>"R833/ｺｲ"</f>
        <v>R833/ｺｲ</v>
      </c>
      <c r="H1501" s="4" t="str">
        <f>"1997/07/07"</f>
        <v>1997/07/07</v>
      </c>
      <c r="I1501" s="6">
        <v>14649</v>
      </c>
      <c r="J1501" s="8">
        <v>500</v>
      </c>
      <c r="K1501" s="4" t="str">
        <f t="shared" si="75"/>
        <v>1  和書</v>
      </c>
      <c r="L1501" s="7"/>
    </row>
    <row r="1502" spans="1:12" ht="24" x14ac:dyDescent="0.15">
      <c r="A1502" s="36">
        <v>1501</v>
      </c>
      <c r="B1502" s="3" t="s">
        <v>89</v>
      </c>
      <c r="C1502" s="4" t="str">
        <f>"0000861137"</f>
        <v>0000861137</v>
      </c>
      <c r="D1502" s="5" t="str">
        <f>"新和英大辞典 / 増田綱編 ; : 背革装 - : 総革装.-- 第4版.-- 研究社; 1974."</f>
        <v>新和英大辞典 / 増田綱編 ; : 背革装 - : 総革装.-- 第4版.-- 研究社; 1974.</v>
      </c>
      <c r="E1502" s="4" t="str">
        <f>": [並装]"</f>
        <v>: [並装]</v>
      </c>
      <c r="F1502" s="26"/>
      <c r="G1502" s="27" t="str">
        <f>"R833/ﾏｽ"</f>
        <v>R833/ﾏｽ</v>
      </c>
      <c r="H1502" s="4" t="str">
        <f>"1995/07/17"</f>
        <v>1995/07/17</v>
      </c>
      <c r="I1502" s="6">
        <v>10350</v>
      </c>
      <c r="J1502" s="8">
        <v>500</v>
      </c>
      <c r="K1502" s="4" t="str">
        <f t="shared" si="75"/>
        <v>1  和書</v>
      </c>
      <c r="L1502" s="7"/>
    </row>
    <row r="1503" spans="1:12" ht="24" x14ac:dyDescent="0.15">
      <c r="A1503" s="36">
        <v>1502</v>
      </c>
      <c r="B1503" s="3" t="s">
        <v>89</v>
      </c>
      <c r="C1503" s="4" t="str">
        <f>"0001294378"</f>
        <v>0001294378</v>
      </c>
      <c r="D1503" s="5" t="str">
        <f>"新和英大辞典 / 増田綱編 ; : 背革装 - : 総革装.-- 第4版.-- 研究社; 1974."</f>
        <v>新和英大辞典 / 増田綱編 ; : 背革装 - : 総革装.-- 第4版.-- 研究社; 1974.</v>
      </c>
      <c r="E1503" s="4" t="str">
        <f>": [並装]"</f>
        <v>: [並装]</v>
      </c>
      <c r="F1503" s="26"/>
      <c r="G1503" s="27" t="str">
        <f>"R833/ﾏｽ"</f>
        <v>R833/ﾏｽ</v>
      </c>
      <c r="H1503" s="4" t="str">
        <f>"1997/07/07"</f>
        <v>1997/07/07</v>
      </c>
      <c r="I1503" s="6">
        <v>10550</v>
      </c>
      <c r="J1503" s="8">
        <v>500</v>
      </c>
      <c r="K1503" s="4" t="str">
        <f t="shared" si="75"/>
        <v>1  和書</v>
      </c>
      <c r="L1503" s="7"/>
    </row>
    <row r="1504" spans="1:12" x14ac:dyDescent="0.15">
      <c r="A1504" s="36">
        <v>1503</v>
      </c>
      <c r="B1504" s="3" t="s">
        <v>89</v>
      </c>
      <c r="C1504" s="4" t="str">
        <f>"0000861120"</f>
        <v>0000861120</v>
      </c>
      <c r="D1504" s="5" t="str">
        <f>"英語正誤辞典 / 荒木一雄編.-- 研究社出版; 1986.7."</f>
        <v>英語正誤辞典 / 荒木一雄編.-- 研究社出版; 1986.7.</v>
      </c>
      <c r="E1504" s="4" t="str">
        <f>""</f>
        <v/>
      </c>
      <c r="F1504" s="26"/>
      <c r="G1504" s="27" t="str">
        <f>"R835/ｱﾗ"</f>
        <v>R835/ｱﾗ</v>
      </c>
      <c r="H1504" s="4" t="str">
        <f>"1995/07/17"</f>
        <v>1995/07/17</v>
      </c>
      <c r="I1504" s="6">
        <v>4950</v>
      </c>
      <c r="J1504" s="6">
        <v>100</v>
      </c>
      <c r="K1504" s="4" t="str">
        <f t="shared" si="75"/>
        <v>1  和書</v>
      </c>
      <c r="L1504" s="7"/>
    </row>
    <row r="1505" spans="1:12" x14ac:dyDescent="0.15">
      <c r="A1505" s="36">
        <v>1504</v>
      </c>
      <c r="B1505" s="3" t="s">
        <v>89</v>
      </c>
      <c r="C1505" s="10" t="str">
        <f>"0001064322"</f>
        <v>0001064322</v>
      </c>
      <c r="D1505" s="11" t="str">
        <f>"意味論から見た語法 / 柏野健次著.-- 研究社出版; 1993.9."</f>
        <v>意味論から見た語法 / 柏野健次著.-- 研究社出版; 1993.9.</v>
      </c>
      <c r="E1505" s="10" t="str">
        <f>""</f>
        <v/>
      </c>
      <c r="F1505" s="28" t="s">
        <v>8</v>
      </c>
      <c r="G1505" s="29" t="str">
        <f>"835/ｶｼ"</f>
        <v>835/ｶｼ</v>
      </c>
      <c r="H1505" s="10" t="str">
        <f>"1996/03/29"</f>
        <v>1996/03/29</v>
      </c>
      <c r="I1505" s="12">
        <v>2204</v>
      </c>
      <c r="J1505" s="12">
        <v>100</v>
      </c>
      <c r="K1505" s="10" t="str">
        <f t="shared" si="75"/>
        <v>1  和書</v>
      </c>
      <c r="L1505" s="13"/>
    </row>
    <row r="1506" spans="1:12" ht="24" x14ac:dyDescent="0.15">
      <c r="A1506" s="36">
        <v>1505</v>
      </c>
      <c r="B1506" s="3" t="s">
        <v>89</v>
      </c>
      <c r="C1506" s="10" t="str">
        <f>"0002798967"</f>
        <v>0002798967</v>
      </c>
      <c r="D1506" s="11" t="str">
        <f>"Basic American grammar and usage : an ESL/EFL handbook / by Marcel Danesi ; pbk..-- Barron's Educational Series; c2006."</f>
        <v>Basic American grammar and usage : an ESL/EFL handbook / by Marcel Danesi ; pbk..-- Barron's Educational Series; c2006.</v>
      </c>
      <c r="E1506" s="10" t="str">
        <f>"pbk."</f>
        <v>pbk.</v>
      </c>
      <c r="F1506" s="28" t="s">
        <v>8</v>
      </c>
      <c r="G1506" s="29" t="str">
        <f>"835/DA"</f>
        <v>835/DA</v>
      </c>
      <c r="H1506" s="10" t="str">
        <f>"2011/11/09"</f>
        <v>2011/11/09</v>
      </c>
      <c r="I1506" s="12">
        <v>1730</v>
      </c>
      <c r="J1506" s="12">
        <v>100</v>
      </c>
      <c r="K1506" s="10" t="str">
        <f>"2  洋書"</f>
        <v>2  洋書</v>
      </c>
      <c r="L1506" s="13"/>
    </row>
    <row r="1507" spans="1:12" ht="24" x14ac:dyDescent="0.15">
      <c r="A1507" s="36">
        <v>1506</v>
      </c>
      <c r="B1507" s="3" t="s">
        <v>89</v>
      </c>
      <c r="C1507" s="10" t="str">
        <f>"0002798974"</f>
        <v>0002798974</v>
      </c>
      <c r="D1507" s="11" t="str">
        <f>"Basic American grammar and usage : an ESL/EFL handbook / by Marcel Danesi ; pbk..-- Barron's Educational Series; c2006."</f>
        <v>Basic American grammar and usage : an ESL/EFL handbook / by Marcel Danesi ; pbk..-- Barron's Educational Series; c2006.</v>
      </c>
      <c r="E1507" s="10" t="str">
        <f>"pbk."</f>
        <v>pbk.</v>
      </c>
      <c r="F1507" s="28" t="s">
        <v>8</v>
      </c>
      <c r="G1507" s="29" t="str">
        <f>"835/DA"</f>
        <v>835/DA</v>
      </c>
      <c r="H1507" s="10" t="str">
        <f>"2011/11/09"</f>
        <v>2011/11/09</v>
      </c>
      <c r="I1507" s="12">
        <v>1730</v>
      </c>
      <c r="J1507" s="12">
        <v>100</v>
      </c>
      <c r="K1507" s="10" t="str">
        <f>"2  洋書"</f>
        <v>2  洋書</v>
      </c>
      <c r="L1507" s="13"/>
    </row>
    <row r="1508" spans="1:12" x14ac:dyDescent="0.15">
      <c r="A1508" s="36">
        <v>1507</v>
      </c>
      <c r="B1508" s="3" t="s">
        <v>89</v>
      </c>
      <c r="C1508" s="10" t="str">
        <f>"0001064391"</f>
        <v>0001064391</v>
      </c>
      <c r="D1508" s="11" t="str">
        <f>"英語文体論 / 池田拓朗著.-- 研究社出版; 1992.8."</f>
        <v>英語文体論 / 池田拓朗著.-- 研究社出版; 1992.8.</v>
      </c>
      <c r="E1508" s="10" t="str">
        <f>""</f>
        <v/>
      </c>
      <c r="F1508" s="28" t="s">
        <v>8</v>
      </c>
      <c r="G1508" s="29" t="str">
        <f>"836/ｲｹ"</f>
        <v>836/ｲｹ</v>
      </c>
      <c r="H1508" s="10" t="str">
        <f>"1996/03/29"</f>
        <v>1996/03/29</v>
      </c>
      <c r="I1508" s="12">
        <v>4250</v>
      </c>
      <c r="J1508" s="12">
        <v>100</v>
      </c>
      <c r="K1508" s="10" t="str">
        <f t="shared" si="75"/>
        <v>1  和書</v>
      </c>
      <c r="L1508" s="13"/>
    </row>
    <row r="1509" spans="1:12" ht="24" x14ac:dyDescent="0.15">
      <c r="A1509" s="36">
        <v>1508</v>
      </c>
      <c r="B1509" s="3" t="s">
        <v>89</v>
      </c>
      <c r="C1509" s="10" t="str">
        <f>"0001390780"</f>
        <v>0001390780</v>
      </c>
      <c r="D1509" s="11" t="str">
        <f>"MLA英語論文の手引 / J.ジバルディ, W.S.アクタート編著 ; 原田敬一訳編.-- 第3版.-- 北星堂書店; 1990.10."</f>
        <v>MLA英語論文の手引 / J.ジバルディ, W.S.アクタート編著 ; 原田敬一訳編.-- 第3版.-- 北星堂書店; 1990.10.</v>
      </c>
      <c r="E1509" s="10" t="str">
        <f>""</f>
        <v/>
      </c>
      <c r="F1509" s="28" t="s">
        <v>8</v>
      </c>
      <c r="G1509" s="29" t="str">
        <f>"836.5/ｼﾞﾊﾞ"</f>
        <v>836.5/ｼﾞﾊﾞ</v>
      </c>
      <c r="H1509" s="10" t="str">
        <f>"1998/01/15"</f>
        <v>1998/01/15</v>
      </c>
      <c r="I1509" s="12">
        <v>2017</v>
      </c>
      <c r="J1509" s="12">
        <v>100</v>
      </c>
      <c r="K1509" s="10" t="str">
        <f t="shared" si="75"/>
        <v>1  和書</v>
      </c>
      <c r="L1509" s="13"/>
    </row>
    <row r="1510" spans="1:12" ht="24" x14ac:dyDescent="0.15">
      <c r="A1510" s="36">
        <v>1509</v>
      </c>
      <c r="B1510" s="3" t="s">
        <v>89</v>
      </c>
      <c r="C1510" s="10" t="str">
        <f>"0000523356"</f>
        <v>0000523356</v>
      </c>
      <c r="D1510" s="11" t="str">
        <f>"これなら書ける英文手紙のやさしい文例集 / 小川妙子, ロナルド・ファード著.-- 新星出版社; 1993.6."</f>
        <v>これなら書ける英文手紙のやさしい文例集 / 小川妙子, ロナルド・ファード著.-- 新星出版社; 1993.6.</v>
      </c>
      <c r="E1510" s="10" t="str">
        <f>""</f>
        <v/>
      </c>
      <c r="F1510" s="28" t="s">
        <v>8</v>
      </c>
      <c r="G1510" s="29" t="str">
        <f>"836.6/ｵｶﾞ"</f>
        <v>836.6/ｵｶﾞ</v>
      </c>
      <c r="H1510" s="10" t="str">
        <f>"1995/02/01"</f>
        <v>1995/02/01</v>
      </c>
      <c r="I1510" s="12">
        <v>1080</v>
      </c>
      <c r="J1510" s="12">
        <v>100</v>
      </c>
      <c r="K1510" s="10" t="str">
        <f t="shared" si="75"/>
        <v>1  和書</v>
      </c>
      <c r="L1510" s="13"/>
    </row>
    <row r="1511" spans="1:12" ht="24" x14ac:dyDescent="0.15">
      <c r="A1511" s="36">
        <v>1510</v>
      </c>
      <c r="B1511" s="3" t="s">
        <v>89</v>
      </c>
      <c r="C1511" s="4" t="str">
        <f>"0001062182"</f>
        <v>0001062182</v>
      </c>
      <c r="D1511" s="5" t="str">
        <f>"ジョン・シルキンと読むイギリス現代詩 / ジョン・シルキン編 ; 川口喬一注釈.-- 研究社; 1994.5."</f>
        <v>ジョン・シルキンと読むイギリス現代詩 / ジョン・シルキン編 ; 川口喬一注釈.-- 研究社; 1994.5.</v>
      </c>
      <c r="E1511" s="4" t="str">
        <f>""</f>
        <v/>
      </c>
      <c r="F1511" s="26"/>
      <c r="G1511" s="27" t="str">
        <f>"837.7/ｼﾞﾖ"</f>
        <v>837.7/ｼﾞﾖ</v>
      </c>
      <c r="H1511" s="4" t="str">
        <f>"1996/03/29"</f>
        <v>1996/03/29</v>
      </c>
      <c r="I1511" s="6">
        <v>2046</v>
      </c>
      <c r="J1511" s="6">
        <v>100</v>
      </c>
      <c r="K1511" s="4" t="str">
        <f t="shared" si="75"/>
        <v>1  和書</v>
      </c>
      <c r="L1511" s="7"/>
    </row>
    <row r="1512" spans="1:12" ht="24" x14ac:dyDescent="0.15">
      <c r="A1512" s="36">
        <v>1511</v>
      </c>
      <c r="B1512" s="3" t="s">
        <v>89</v>
      </c>
      <c r="C1512" s="10" t="str">
        <f>"0000859356"</f>
        <v>0000859356</v>
      </c>
      <c r="D1512" s="11" t="str">
        <f>"The expanding universe of English / 東京大学教養学部英語教室編 ; [1], 2, 2:CDset.-- 東京大学出版会; 1994-2000."</f>
        <v>The expanding universe of English / 東京大学教養学部英語教室編 ; [1], 2, 2:CDset.-- 東京大学出版会; 1994-2000.</v>
      </c>
      <c r="E1512" s="10" t="str">
        <f>"[1]"</f>
        <v>[1]</v>
      </c>
      <c r="F1512" s="28" t="s">
        <v>8</v>
      </c>
      <c r="G1512" s="29" t="str">
        <f>"837.7/ﾄｳ"</f>
        <v>837.7/ﾄｳ</v>
      </c>
      <c r="H1512" s="10" t="str">
        <f>"1995/07/05"</f>
        <v>1995/07/05</v>
      </c>
      <c r="I1512" s="12">
        <v>1854</v>
      </c>
      <c r="J1512" s="12">
        <v>100</v>
      </c>
      <c r="K1512" s="10" t="str">
        <f t="shared" si="75"/>
        <v>1  和書</v>
      </c>
      <c r="L1512" s="13"/>
    </row>
    <row r="1513" spans="1:12" ht="24" x14ac:dyDescent="0.15">
      <c r="A1513" s="36">
        <v>1512</v>
      </c>
      <c r="B1513" s="3" t="s">
        <v>90</v>
      </c>
      <c r="C1513" s="4" t="str">
        <f>"0002654874"</f>
        <v>0002654874</v>
      </c>
      <c r="D1513" s="5" t="str">
        <f>"アイルランド・ゲール語辞典 / 前田真利子, 醍醐文子編著.-- 大学書林; 2003.11."</f>
        <v>アイルランド・ゲール語辞典 / 前田真利子, 醍醐文子編著.-- 大学書林; 2003.11.</v>
      </c>
      <c r="E1513" s="4" t="str">
        <f>""</f>
        <v/>
      </c>
      <c r="F1513" s="26"/>
      <c r="G1513" s="27" t="str">
        <f>"R893.23/ﾏｴ"</f>
        <v>R893.23/ﾏｴ</v>
      </c>
      <c r="H1513" s="4" t="str">
        <f>"2004/01/30"</f>
        <v>2004/01/30</v>
      </c>
      <c r="I1513" s="6">
        <v>26460</v>
      </c>
      <c r="J1513" s="8">
        <v>1000</v>
      </c>
      <c r="K1513" s="4" t="str">
        <f t="shared" si="75"/>
        <v>1  和書</v>
      </c>
      <c r="L1513" s="7"/>
    </row>
    <row r="1514" spans="1:12" ht="22.5" x14ac:dyDescent="0.15">
      <c r="A1514" s="36">
        <v>1513</v>
      </c>
      <c r="B1514" s="3" t="s">
        <v>90</v>
      </c>
      <c r="C1514" s="10" t="str">
        <f>"0000546768"</f>
        <v>0000546768</v>
      </c>
      <c r="D1514" s="11" t="str">
        <f>"スワヒリ・日本語辞典 / 和崎洋一編.-- 養徳社; 1980.9."</f>
        <v>スワヒリ・日本語辞典 / 和崎洋一編.-- 養徳社; 1980.9.</v>
      </c>
      <c r="E1514" s="10" t="str">
        <f>""</f>
        <v/>
      </c>
      <c r="F1514" s="28" t="s">
        <v>8</v>
      </c>
      <c r="G1514" s="29" t="str">
        <f>"R894.7/ﾜｻﾞ"</f>
        <v>R894.7/ﾜｻﾞ</v>
      </c>
      <c r="H1514" s="10" t="str">
        <f>"1995/02/28"</f>
        <v>1995/02/28</v>
      </c>
      <c r="I1514" s="12">
        <v>16686</v>
      </c>
      <c r="J1514" s="14">
        <v>500</v>
      </c>
      <c r="K1514" s="10" t="str">
        <f t="shared" si="75"/>
        <v>1  和書</v>
      </c>
      <c r="L1514" s="13"/>
    </row>
    <row r="1515" spans="1:12" x14ac:dyDescent="0.15">
      <c r="A1515" s="36">
        <v>1514</v>
      </c>
      <c r="B1515" s="3" t="s">
        <v>91</v>
      </c>
      <c r="C1515" s="4" t="str">
        <f>"0001093445"</f>
        <v>0001093445</v>
      </c>
      <c r="D1515" s="5" t="str">
        <f>"散文の理論 / V・シクロフスキー著 ; 水野忠夫訳.-- せりか書房; 1971.6."</f>
        <v>散文の理論 / V・シクロフスキー著 ; 水野忠夫訳.-- せりか書房; 1971.6.</v>
      </c>
      <c r="E1515" s="4" t="str">
        <f>""</f>
        <v/>
      </c>
      <c r="F1515" s="26"/>
      <c r="G1515" s="27" t="str">
        <f>"901.3/ｼｸ"</f>
        <v>901.3/ｼｸ</v>
      </c>
      <c r="H1515" s="4" t="str">
        <f>"1996/03/29"</f>
        <v>1996/03/29</v>
      </c>
      <c r="I1515" s="6">
        <v>3080</v>
      </c>
      <c r="J1515" s="6">
        <v>100</v>
      </c>
      <c r="K1515" s="4" t="str">
        <f t="shared" si="75"/>
        <v>1  和書</v>
      </c>
      <c r="L1515" s="7"/>
    </row>
    <row r="1516" spans="1:12" x14ac:dyDescent="0.15">
      <c r="A1516" s="36">
        <v>1515</v>
      </c>
      <c r="B1516" s="3" t="s">
        <v>91</v>
      </c>
      <c r="C1516" s="4" t="str">
        <f>"0002105710"</f>
        <v>0002105710</v>
      </c>
      <c r="D1516" s="5" t="str">
        <f>"最新文学批評用語辞典 / 川口喬一, 岡本靖正編.-- 研究社出版; 1998.8."</f>
        <v>最新文学批評用語辞典 / 川口喬一, 岡本靖正編.-- 研究社出版; 1998.8.</v>
      </c>
      <c r="E1516" s="4" t="str">
        <f>""</f>
        <v/>
      </c>
      <c r="F1516" s="26"/>
      <c r="G1516" s="27" t="str">
        <f>"R903.3/ｶﾜ"</f>
        <v>R903.3/ｶﾜ</v>
      </c>
      <c r="H1516" s="4" t="str">
        <f>"1999/06/04"</f>
        <v>1999/06/04</v>
      </c>
      <c r="I1516" s="6">
        <v>2646</v>
      </c>
      <c r="J1516" s="6">
        <v>100</v>
      </c>
      <c r="K1516" s="4" t="str">
        <f t="shared" si="75"/>
        <v>1  和書</v>
      </c>
      <c r="L1516" s="7"/>
    </row>
    <row r="1517" spans="1:12" ht="24" x14ac:dyDescent="0.15">
      <c r="A1517" s="36">
        <v>1516</v>
      </c>
      <c r="B1517" s="3" t="s">
        <v>91</v>
      </c>
      <c r="C1517" s="4" t="str">
        <f>"0002643090"</f>
        <v>0002643090</v>
      </c>
      <c r="D1517" s="5" t="str">
        <f>"方法の冒険 / 筒井康隆編.-- 岩波書店; 2001.12.-- (21世紀文学の創造 / 池澤夏樹 [ほか] 編 ; 3)."</f>
        <v>方法の冒険 / 筒井康隆編.-- 岩波書店; 2001.12.-- (21世紀文学の創造 / 池澤夏樹 [ほか] 編 ; 3).</v>
      </c>
      <c r="E1517" s="4" t="str">
        <f>""</f>
        <v/>
      </c>
      <c r="F1517" s="26"/>
      <c r="G1517" s="27" t="str">
        <f>"904/ﾆｼﾞ/3"</f>
        <v>904/ﾆｼﾞ/3</v>
      </c>
      <c r="H1517" s="4" t="str">
        <f>"2003/10/30"</f>
        <v>2003/10/30</v>
      </c>
      <c r="I1517" s="6">
        <v>2079</v>
      </c>
      <c r="J1517" s="6">
        <v>100</v>
      </c>
      <c r="K1517" s="4" t="str">
        <f t="shared" si="75"/>
        <v>1  和書</v>
      </c>
      <c r="L1517" s="7"/>
    </row>
    <row r="1518" spans="1:12" ht="24" x14ac:dyDescent="0.15">
      <c r="A1518" s="36">
        <v>1517</v>
      </c>
      <c r="B1518" s="3" t="s">
        <v>91</v>
      </c>
      <c r="C1518" s="4" t="str">
        <f>"0002948768"</f>
        <v>0002948768</v>
      </c>
      <c r="D1518" s="5" t="str">
        <f>"脱文学と超文学 / 斎藤美奈子編.-- 岩波書店; 2002.4.-- (21世紀文学の創造 / 池澤夏樹 [ほか] 編 ; 4)."</f>
        <v>脱文学と超文学 / 斎藤美奈子編.-- 岩波書店; 2002.4.-- (21世紀文学の創造 / 池澤夏樹 [ほか] 編 ; 4).</v>
      </c>
      <c r="E1518" s="4" t="str">
        <f>""</f>
        <v/>
      </c>
      <c r="F1518" s="26"/>
      <c r="G1518" s="27" t="str">
        <f>"904/ﾆｼﾞ/4"</f>
        <v>904/ﾆｼﾞ/4</v>
      </c>
      <c r="H1518" s="4" t="str">
        <f>"2009/11/13"</f>
        <v>2009/11/13</v>
      </c>
      <c r="I1518" s="6">
        <v>2173</v>
      </c>
      <c r="J1518" s="6">
        <v>100</v>
      </c>
      <c r="K1518" s="4" t="str">
        <f t="shared" si="75"/>
        <v>1  和書</v>
      </c>
      <c r="L1518" s="7"/>
    </row>
    <row r="1519" spans="1:12" ht="24" x14ac:dyDescent="0.15">
      <c r="A1519" s="36">
        <v>1518</v>
      </c>
      <c r="B1519" s="3" t="s">
        <v>91</v>
      </c>
      <c r="C1519" s="4" t="str">
        <f>"0001321968"</f>
        <v>0001321968</v>
      </c>
      <c r="D1519" s="5" t="str">
        <f>"文学形式の哲学 : 象徴的行動の研究 / ケネス・バーク著 ; 森常治訳.-- 改訂版.-- 国文社; 1983."</f>
        <v>文学形式の哲学 : 象徴的行動の研究 / ケネス・バーク著 ; 森常治訳.-- 改訂版.-- 国文社; 1983.</v>
      </c>
      <c r="E1519" s="4" t="str">
        <f>""</f>
        <v/>
      </c>
      <c r="F1519" s="26"/>
      <c r="G1519" s="27" t="str">
        <f>"904/ﾊﾞｸ"</f>
        <v>904/ﾊﾞｸ</v>
      </c>
      <c r="H1519" s="4" t="str">
        <f>"1996/06/12"</f>
        <v>1996/06/12</v>
      </c>
      <c r="I1519" s="6">
        <v>3893</v>
      </c>
      <c r="J1519" s="6">
        <v>100</v>
      </c>
      <c r="K1519" s="4" t="str">
        <f t="shared" si="75"/>
        <v>1  和書</v>
      </c>
      <c r="L1519" s="7"/>
    </row>
    <row r="1520" spans="1:12" x14ac:dyDescent="0.15">
      <c r="A1520" s="36">
        <v>1519</v>
      </c>
      <c r="B1520" s="3" t="s">
        <v>92</v>
      </c>
      <c r="C1520" s="4" t="str">
        <f>"9100006059"</f>
        <v>9100006059</v>
      </c>
      <c r="D1520" s="5" t="str">
        <f>"広島県現代文学事典 / 岩崎文人編.-- 勉誠出版; 2010.12."</f>
        <v>広島県現代文学事典 / 岩崎文人編.-- 勉誠出版; 2010.12.</v>
      </c>
      <c r="E1520" s="4" t="str">
        <f>""</f>
        <v/>
      </c>
      <c r="F1520" s="26"/>
      <c r="G1520" s="27" t="str">
        <f>"R910.26/ｲﾜ"</f>
        <v>R910.26/ｲﾜ</v>
      </c>
      <c r="H1520" s="4" t="str">
        <f>"2010/12/16"</f>
        <v>2010/12/16</v>
      </c>
      <c r="I1520" s="6">
        <v>11718</v>
      </c>
      <c r="J1520" s="8">
        <v>500</v>
      </c>
      <c r="K1520" s="4" t="str">
        <f t="shared" si="75"/>
        <v>1  和書</v>
      </c>
      <c r="L1520" s="7"/>
    </row>
    <row r="1521" spans="1:12" ht="24" x14ac:dyDescent="0.15">
      <c r="A1521" s="36">
        <v>1520</v>
      </c>
      <c r="B1521" s="3" t="s">
        <v>92</v>
      </c>
      <c r="C1521" s="4" t="str">
        <f>"9100005045"</f>
        <v>9100005045</v>
      </c>
      <c r="D1521" s="5" t="str">
        <f>"「戦後」というイデオロギー : 歴史/記憶/文化 / 高榮蘭著.-- 藤原書店; 2010.6."</f>
        <v>「戦後」というイデオロギー : 歴史/記憶/文化 / 高榮蘭著.-- 藤原書店; 2010.6.</v>
      </c>
      <c r="E1521" s="4" t="str">
        <f>""</f>
        <v/>
      </c>
      <c r="F1521" s="26"/>
      <c r="G1521" s="27" t="str">
        <f>"910.26/ｺｳ"</f>
        <v>910.26/ｺｳ</v>
      </c>
      <c r="H1521" s="4" t="str">
        <f>"2010/10/29"</f>
        <v>2010/10/29</v>
      </c>
      <c r="I1521" s="6">
        <v>4101</v>
      </c>
      <c r="J1521" s="6">
        <v>100</v>
      </c>
      <c r="K1521" s="4" t="str">
        <f t="shared" si="75"/>
        <v>1  和書</v>
      </c>
      <c r="L1521" s="7"/>
    </row>
    <row r="1522" spans="1:12" x14ac:dyDescent="0.15">
      <c r="A1522" s="36">
        <v>1521</v>
      </c>
      <c r="B1522" s="3" t="s">
        <v>92</v>
      </c>
      <c r="C1522" s="4" t="str">
        <f>"0001386363"</f>
        <v>0001386363</v>
      </c>
      <c r="D1522" s="5" t="str">
        <f>"ひべるにあ島紀行 / 富岡多惠子著.-- 講談社; 1997.9."</f>
        <v>ひべるにあ島紀行 / 富岡多惠子著.-- 講談社; 1997.9.</v>
      </c>
      <c r="E1522" s="4" t="str">
        <f>""</f>
        <v/>
      </c>
      <c r="F1522" s="26"/>
      <c r="G1522" s="27" t="str">
        <f>"913.6/ﾄﾐ"</f>
        <v>913.6/ﾄﾐ</v>
      </c>
      <c r="H1522" s="4" t="str">
        <f>"1997/12/15"</f>
        <v>1997/12/15</v>
      </c>
      <c r="I1522" s="6">
        <v>1607</v>
      </c>
      <c r="J1522" s="6">
        <v>100</v>
      </c>
      <c r="K1522" s="4" t="str">
        <f t="shared" si="75"/>
        <v>1  和書</v>
      </c>
      <c r="L1522" s="7"/>
    </row>
    <row r="1523" spans="1:12" ht="24" x14ac:dyDescent="0.15">
      <c r="A1523" s="36">
        <v>1522</v>
      </c>
      <c r="B1523" s="3" t="s">
        <v>92</v>
      </c>
      <c r="C1523" s="4" t="str">
        <f>"0003506349"</f>
        <v>0003506349</v>
      </c>
      <c r="D1523" s="5" t="str">
        <f>"それから / 夏目漱石作.-- 改版.-- 岩波書店; 1989.11.-- (岩波文庫 ; 31-010-7,緑-10-7)."</f>
        <v>それから / 夏目漱石作.-- 改版.-- 岩波書店; 1989.11.-- (岩波文庫 ; 31-010-7,緑-10-7).</v>
      </c>
      <c r="E1523" s="4" t="str">
        <f>""</f>
        <v/>
      </c>
      <c r="F1523" s="26"/>
      <c r="G1523" s="27" t="str">
        <f>"913.6/ﾅﾂ"</f>
        <v>913.6/ﾅﾂ</v>
      </c>
      <c r="H1523" s="4" t="str">
        <f>"2015/01/06"</f>
        <v>2015/01/06</v>
      </c>
      <c r="I1523" s="6">
        <v>198</v>
      </c>
      <c r="J1523" s="6">
        <v>100</v>
      </c>
      <c r="K1523" s="4" t="str">
        <f t="shared" si="75"/>
        <v>1  和書</v>
      </c>
      <c r="L1523" s="7"/>
    </row>
    <row r="1524" spans="1:12" ht="24" x14ac:dyDescent="0.15">
      <c r="A1524" s="36">
        <v>1523</v>
      </c>
      <c r="B1524" s="3" t="s">
        <v>92</v>
      </c>
      <c r="C1524" s="4" t="str">
        <f>"0003514580"</f>
        <v>0003514580</v>
      </c>
      <c r="D1524" s="5" t="str">
        <f>"煤煙 / 森田草平作.-- 改版.-- 岩波書店; 1940.-- (岩波文庫 ; 791-792a, 緑(31)-043-1)."</f>
        <v>煤煙 / 森田草平作.-- 改版.-- 岩波書店; 1940.-- (岩波文庫 ; 791-792a, 緑(31)-043-1).</v>
      </c>
      <c r="E1524" s="4" t="str">
        <f>""</f>
        <v/>
      </c>
      <c r="F1524" s="26"/>
      <c r="G1524" s="27" t="str">
        <f>"913.6/ﾓﾘ"</f>
        <v>913.6/ﾓﾘ</v>
      </c>
      <c r="H1524" s="4" t="str">
        <f>"2015/11/09"</f>
        <v>2015/11/09</v>
      </c>
      <c r="I1524" s="6">
        <v>498</v>
      </c>
      <c r="J1524" s="6">
        <v>100</v>
      </c>
      <c r="K1524" s="4" t="str">
        <f t="shared" si="75"/>
        <v>1  和書</v>
      </c>
      <c r="L1524" s="7"/>
    </row>
    <row r="1525" spans="1:12" ht="24" x14ac:dyDescent="0.15">
      <c r="A1525" s="36">
        <v>1524</v>
      </c>
      <c r="B1525" s="3" t="s">
        <v>92</v>
      </c>
      <c r="C1525" s="4" t="str">
        <f>"0002826448"</f>
        <v>0002826448</v>
      </c>
      <c r="D1525" s="5" t="str">
        <f>"風の歌を聴け ; 1973年のピンボール.-- 講談社; 1990.5.-- (村上春樹全作品 : 1979?1989 / 村上春樹著 ; 1)."</f>
        <v>風の歌を聴け ; 1973年のピンボール.-- 講談社; 1990.5.-- (村上春樹全作品 : 1979?1989 / 村上春樹著 ; 1).</v>
      </c>
      <c r="E1525" s="4" t="str">
        <f>""</f>
        <v/>
      </c>
      <c r="F1525" s="26"/>
      <c r="G1525" s="27" t="str">
        <f>"913.68/ﾑﾗ/1"</f>
        <v>913.68/ﾑﾗ/1</v>
      </c>
      <c r="H1525" s="4" t="str">
        <f>"2006/03/31"</f>
        <v>2006/03/31</v>
      </c>
      <c r="I1525" s="6">
        <v>2324</v>
      </c>
      <c r="J1525" s="6">
        <v>100</v>
      </c>
      <c r="K1525" s="4" t="str">
        <f t="shared" si="75"/>
        <v>1  和書</v>
      </c>
      <c r="L1525" s="7"/>
    </row>
    <row r="1526" spans="1:12" ht="24" x14ac:dyDescent="0.15">
      <c r="A1526" s="36">
        <v>1525</v>
      </c>
      <c r="B1526" s="3" t="s">
        <v>92</v>
      </c>
      <c r="C1526" s="4" t="str">
        <f>"0002826462"</f>
        <v>0002826462</v>
      </c>
      <c r="D1526" s="5" t="str">
        <f>"世界の終りとハードボイルド・ワンダーランド.-- 講談社; 1990.11.-- (村上春樹全作品 : 1979?1989 / 村上春樹著 ; 4)."</f>
        <v>世界の終りとハードボイルド・ワンダーランド.-- 講談社; 1990.11.-- (村上春樹全作品 : 1979?1989 / 村上春樹著 ; 4).</v>
      </c>
      <c r="E1526" s="4" t="str">
        <f>""</f>
        <v/>
      </c>
      <c r="F1526" s="26"/>
      <c r="G1526" s="27" t="str">
        <f>"913.68/ﾑﾗ/4"</f>
        <v>913.68/ﾑﾗ/4</v>
      </c>
      <c r="H1526" s="4" t="str">
        <f>"2006/03/31"</f>
        <v>2006/03/31</v>
      </c>
      <c r="I1526" s="6">
        <v>3271</v>
      </c>
      <c r="J1526" s="6">
        <v>100</v>
      </c>
      <c r="K1526" s="4" t="str">
        <f t="shared" si="75"/>
        <v>1  和書</v>
      </c>
      <c r="L1526" s="7"/>
    </row>
    <row r="1527" spans="1:12" x14ac:dyDescent="0.15">
      <c r="A1527" s="36">
        <v>1526</v>
      </c>
      <c r="B1527" s="3" t="s">
        <v>92</v>
      </c>
      <c r="C1527" s="4" t="str">
        <f>"0001084887"</f>
        <v>0001084887</v>
      </c>
      <c r="D1527" s="5" t="str">
        <f>"路上の櫂歌 / 秋山駿著.-- 小沢書店; 1994.8."</f>
        <v>路上の櫂歌 / 秋山駿著.-- 小沢書店; 1994.8.</v>
      </c>
      <c r="E1527" s="4" t="str">
        <f>""</f>
        <v/>
      </c>
      <c r="F1527" s="26"/>
      <c r="G1527" s="27" t="str">
        <f>"914.6/ｱｷ"</f>
        <v>914.6/ｱｷ</v>
      </c>
      <c r="H1527" s="4" t="str">
        <f>"1996/03/29"</f>
        <v>1996/03/29</v>
      </c>
      <c r="I1527" s="6">
        <v>2432</v>
      </c>
      <c r="J1527" s="6">
        <v>100</v>
      </c>
      <c r="K1527" s="4" t="str">
        <f t="shared" si="75"/>
        <v>1  和書</v>
      </c>
      <c r="L1527" s="7"/>
    </row>
    <row r="1528" spans="1:12" x14ac:dyDescent="0.15">
      <c r="A1528" s="36">
        <v>1527</v>
      </c>
      <c r="B1528" s="3" t="s">
        <v>92</v>
      </c>
      <c r="C1528" s="4" t="str">
        <f>"0002119045"</f>
        <v>0002119045</v>
      </c>
      <c r="D1528" s="5" t="str">
        <f>"郵便的不安たち / 東浩紀著.-- 朝日新聞社; 1999.8."</f>
        <v>郵便的不安たち / 東浩紀著.-- 朝日新聞社; 1999.8.</v>
      </c>
      <c r="E1528" s="4" t="str">
        <f>""</f>
        <v/>
      </c>
      <c r="F1528" s="26"/>
      <c r="G1528" s="27" t="str">
        <f>"914.6/ｱｽﾞ"</f>
        <v>914.6/ｱｽﾞ</v>
      </c>
      <c r="H1528" s="4" t="str">
        <f>"1999/10/15"</f>
        <v>1999/10/15</v>
      </c>
      <c r="I1528" s="6">
        <v>2457</v>
      </c>
      <c r="J1528" s="6">
        <v>100</v>
      </c>
      <c r="K1528" s="4" t="str">
        <f t="shared" si="75"/>
        <v>1  和書</v>
      </c>
      <c r="L1528" s="7"/>
    </row>
    <row r="1529" spans="1:12" ht="24" x14ac:dyDescent="0.15">
      <c r="A1529" s="36">
        <v>1528</v>
      </c>
      <c r="B1529" s="3" t="s">
        <v>92</v>
      </c>
      <c r="C1529" s="4" t="str">
        <f>"0000506939"</f>
        <v>0000506939</v>
      </c>
      <c r="D1529" s="5" t="str">
        <f>"身体の零度 : 何が近代を成立させたか / 三浦雅士著.-- 講談社; 1994.11.-- (講談社選書メチエ ; 31)."</f>
        <v>身体の零度 : 何が近代を成立させたか / 三浦雅士著.-- 講談社; 1994.11.-- (講談社選書メチエ ; 31).</v>
      </c>
      <c r="E1529" s="4" t="str">
        <f>""</f>
        <v/>
      </c>
      <c r="F1529" s="26"/>
      <c r="G1529" s="27" t="str">
        <f>"914.6/ﾐｳ"</f>
        <v>914.6/ﾐｳ</v>
      </c>
      <c r="H1529" s="4" t="str">
        <f>"1994/12/07"</f>
        <v>1994/12/07</v>
      </c>
      <c r="I1529" s="6">
        <v>1350</v>
      </c>
      <c r="J1529" s="6">
        <v>100</v>
      </c>
      <c r="K1529" s="4" t="str">
        <f t="shared" si="75"/>
        <v>1  和書</v>
      </c>
      <c r="L1529" s="7"/>
    </row>
    <row r="1530" spans="1:12" ht="36" x14ac:dyDescent="0.15">
      <c r="A1530" s="36">
        <v>1529</v>
      </c>
      <c r="B1530" s="3" t="s">
        <v>92</v>
      </c>
      <c r="C1530" s="10" t="str">
        <f>"0001945355"</f>
        <v>0001945355</v>
      </c>
      <c r="D1530" s="11" t="str">
        <f>"証言は消えない広島の記録I ; 炎の日から20年広島の記録II / 中国新聞社 [編].-- 日本図書センター; 1991.5.-- (日本の原爆記録 / 家永三郎, 小田切秀雄, 黒古一夫編集 ; 10)."</f>
        <v>証言は消えない広島の記録I ; 炎の日から20年広島の記録II / 中国新聞社 [編].-- 日本図書センター; 1991.5.-- (日本の原爆記録 / 家永三郎, 小田切秀雄, 黒古一夫編集 ; 10).</v>
      </c>
      <c r="E1530" s="10" t="str">
        <f>""</f>
        <v/>
      </c>
      <c r="F1530" s="28" t="s">
        <v>8</v>
      </c>
      <c r="G1530" s="29" t="str">
        <f>"916/ｲｴ/10"</f>
        <v>916/ｲｴ/10</v>
      </c>
      <c r="H1530" s="10" t="str">
        <f>"2003/01/10"</f>
        <v>2003/01/10</v>
      </c>
      <c r="I1530" s="12">
        <v>4063</v>
      </c>
      <c r="J1530" s="12">
        <v>100</v>
      </c>
      <c r="K1530" s="10" t="str">
        <f t="shared" si="75"/>
        <v>1  和書</v>
      </c>
      <c r="L1530" s="13"/>
    </row>
    <row r="1531" spans="1:12" ht="36" x14ac:dyDescent="0.15">
      <c r="A1531" s="36">
        <v>1530</v>
      </c>
      <c r="B1531" s="3" t="s">
        <v>92</v>
      </c>
      <c r="C1531" s="10" t="str">
        <f>"0001945317"</f>
        <v>0001945317</v>
      </c>
      <c r="D1531" s="11" t="str">
        <f>"千羽鶴 : 原爆の子の像の記録 / 豊田清史 [著] . 黒い蝶 : 原爆前後の手記 / 松岡鶴次 [著].-- 日本図書センター; 1991.5.-- (日本の原爆記録 / 家永三郎, 小田切秀雄, 黒古一夫編集 ; 7)."</f>
        <v>千羽鶴 : 原爆の子の像の記録 / 豊田清史 [著] . 黒い蝶 : 原爆前後の手記 / 松岡鶴次 [著].-- 日本図書センター; 1991.5.-- (日本の原爆記録 / 家永三郎, 小田切秀雄, 黒古一夫編集 ; 7).</v>
      </c>
      <c r="E1531" s="10" t="str">
        <f>""</f>
        <v/>
      </c>
      <c r="F1531" s="28" t="s">
        <v>8</v>
      </c>
      <c r="G1531" s="29" t="str">
        <f>"916/ｲｴ/7"</f>
        <v>916/ｲｴ/7</v>
      </c>
      <c r="H1531" s="10" t="str">
        <f>"2003/01/10"</f>
        <v>2003/01/10</v>
      </c>
      <c r="I1531" s="12">
        <v>4063</v>
      </c>
      <c r="J1531" s="12">
        <v>100</v>
      </c>
      <c r="K1531" s="10" t="str">
        <f t="shared" si="75"/>
        <v>1  和書</v>
      </c>
      <c r="L1531" s="13"/>
    </row>
    <row r="1532" spans="1:12" ht="24" x14ac:dyDescent="0.15">
      <c r="A1532" s="36">
        <v>1531</v>
      </c>
      <c r="B1532" s="3" t="s">
        <v>92</v>
      </c>
      <c r="C1532" s="10" t="str">
        <f>"0003908358"</f>
        <v>0003908358</v>
      </c>
      <c r="D1532" s="11" t="str">
        <f>"絶後の記録 : 広島原子爆弾の手記 / 小倉豊文著.-- 中央公論社; 1982.7.-- (中公文庫)."</f>
        <v>絶後の記録 : 広島原子爆弾の手記 / 小倉豊文著.-- 中央公論社; 1982.7.-- (中公文庫).</v>
      </c>
      <c r="E1532" s="10" t="str">
        <f>""</f>
        <v/>
      </c>
      <c r="F1532" s="28" t="s">
        <v>8</v>
      </c>
      <c r="G1532" s="29" t="str">
        <f>"916/ｵｸﾞ"</f>
        <v>916/ｵｸﾞ</v>
      </c>
      <c r="H1532" s="10" t="str">
        <f>"2003/12/19"</f>
        <v>2003/12/19</v>
      </c>
      <c r="I1532" s="12">
        <v>1</v>
      </c>
      <c r="J1532" s="12">
        <v>100</v>
      </c>
      <c r="K1532" s="10" t="str">
        <f t="shared" si="75"/>
        <v>1  和書</v>
      </c>
      <c r="L1532" s="13"/>
    </row>
    <row r="1533" spans="1:12" x14ac:dyDescent="0.15">
      <c r="A1533" s="36">
        <v>1532</v>
      </c>
      <c r="B1533" s="3" t="s">
        <v>92</v>
      </c>
      <c r="C1533" s="10" t="str">
        <f>"0001901368"</f>
        <v>0001901368</v>
      </c>
      <c r="D1533" s="11" t="str">
        <f>"戦争見物 : 世界紛争地帯を歩く / 小磯文雄著.-- 飛鳥新社; 1995.2."</f>
        <v>戦争見物 : 世界紛争地帯を歩く / 小磯文雄著.-- 飛鳥新社; 1995.2.</v>
      </c>
      <c r="E1533" s="10" t="str">
        <f>""</f>
        <v/>
      </c>
      <c r="F1533" s="28" t="s">
        <v>8</v>
      </c>
      <c r="G1533" s="29" t="str">
        <f>"916/ｺｲ"</f>
        <v>916/ｺｲ</v>
      </c>
      <c r="H1533" s="10" t="str">
        <f>"1998/04/01"</f>
        <v>1998/04/01</v>
      </c>
      <c r="I1533" s="12">
        <v>1330</v>
      </c>
      <c r="J1533" s="12">
        <v>100</v>
      </c>
      <c r="K1533" s="10" t="str">
        <f t="shared" si="75"/>
        <v>1  和書</v>
      </c>
      <c r="L1533" s="13"/>
    </row>
    <row r="1534" spans="1:12" ht="24" x14ac:dyDescent="0.15">
      <c r="A1534" s="36">
        <v>1533</v>
      </c>
      <c r="B1534" s="3" t="s">
        <v>92</v>
      </c>
      <c r="C1534" s="10" t="str">
        <f>"0003907221"</f>
        <v>0003907221</v>
      </c>
      <c r="D1534" s="11" t="str">
        <f>"広島第二県女二年西組 : 原爆で死んだ級友たち / 関千枝子著.-- 筑摩書房; 1988.6.-- (ちくま文庫)."</f>
        <v>広島第二県女二年西組 : 原爆で死んだ級友たち / 関千枝子著.-- 筑摩書房; 1988.6.-- (ちくま文庫).</v>
      </c>
      <c r="E1534" s="10" t="str">
        <f>""</f>
        <v/>
      </c>
      <c r="F1534" s="28" t="s">
        <v>8</v>
      </c>
      <c r="G1534" s="29" t="str">
        <f>"916/ｾｷ"</f>
        <v>916/ｾｷ</v>
      </c>
      <c r="H1534" s="10" t="str">
        <f>"1998/07/13"</f>
        <v>1998/07/13</v>
      </c>
      <c r="I1534" s="12">
        <v>1</v>
      </c>
      <c r="J1534" s="12">
        <v>100</v>
      </c>
      <c r="K1534" s="10" t="str">
        <f t="shared" si="75"/>
        <v>1  和書</v>
      </c>
      <c r="L1534" s="13"/>
    </row>
    <row r="1535" spans="1:12" ht="24" x14ac:dyDescent="0.15">
      <c r="A1535" s="36">
        <v>1534</v>
      </c>
      <c r="B1535" s="3" t="s">
        <v>92</v>
      </c>
      <c r="C1535" s="4" t="str">
        <f>"9100019813"</f>
        <v>9100019813</v>
      </c>
      <c r="D1535" s="5" t="str">
        <f>"原民喜.-- ほるぷ出版; 1983.8.-- (日本の原爆文学 / 「核戦争の危機を訴える文学者の声明」署名者企画 ; 1)."</f>
        <v>原民喜.-- ほるぷ出版; 1983.8.-- (日本の原爆文学 / 「核戦争の危機を訴える文学者の声明」署名者企画 ; 1).</v>
      </c>
      <c r="E1535" s="4" t="str">
        <f>""</f>
        <v/>
      </c>
      <c r="F1535" s="26"/>
      <c r="G1535" s="27" t="str">
        <f>"918.6/ﾆﾎ/1"</f>
        <v>918.6/ﾆﾎ/1</v>
      </c>
      <c r="H1535" s="4" t="str">
        <f t="shared" ref="H1535:H1549" si="76">"2013/02/28"</f>
        <v>2013/02/28</v>
      </c>
      <c r="I1535" s="6">
        <v>1233</v>
      </c>
      <c r="J1535" s="6">
        <v>100</v>
      </c>
      <c r="K1535" s="4" t="str">
        <f t="shared" si="75"/>
        <v>1  和書</v>
      </c>
      <c r="L1535" s="7"/>
    </row>
    <row r="1536" spans="1:12" ht="24" x14ac:dyDescent="0.15">
      <c r="A1536" s="36">
        <v>1535</v>
      </c>
      <c r="B1536" s="3" t="s">
        <v>92</v>
      </c>
      <c r="C1536" s="4" t="str">
        <f>"9100019820"</f>
        <v>9100019820</v>
      </c>
      <c r="D1536" s="5" t="str">
        <f>"大田洋子.-- ほるぷ出版; 1983.8.-- (日本の原爆文学 / 「核戦争の危機を訴える文学者の声明」署名者企画 ; 2)."</f>
        <v>大田洋子.-- ほるぷ出版; 1983.8.-- (日本の原爆文学 / 「核戦争の危機を訴える文学者の声明」署名者企画 ; 2).</v>
      </c>
      <c r="E1536" s="4" t="str">
        <f>""</f>
        <v/>
      </c>
      <c r="F1536" s="26"/>
      <c r="G1536" s="27" t="str">
        <f>"918.6/ﾆﾎ/2"</f>
        <v>918.6/ﾆﾎ/2</v>
      </c>
      <c r="H1536" s="4" t="str">
        <f t="shared" si="76"/>
        <v>2013/02/28</v>
      </c>
      <c r="I1536" s="6">
        <v>1233</v>
      </c>
      <c r="J1536" s="6">
        <v>100</v>
      </c>
      <c r="K1536" s="4" t="str">
        <f t="shared" si="75"/>
        <v>1  和書</v>
      </c>
      <c r="L1536" s="7"/>
    </row>
    <row r="1537" spans="1:12" ht="24" x14ac:dyDescent="0.15">
      <c r="A1537" s="36">
        <v>1536</v>
      </c>
      <c r="B1537" s="3" t="s">
        <v>92</v>
      </c>
      <c r="C1537" s="4" t="str">
        <f>"9100019844"</f>
        <v>9100019844</v>
      </c>
      <c r="D1537" s="5" t="str">
        <f>"林京子.-- ほるぷ出版; 1983.8.-- (日本の原爆文学 / 「核戦争の危機を訴える文学者の声明」署名者企画 ; 3)."</f>
        <v>林京子.-- ほるぷ出版; 1983.8.-- (日本の原爆文学 / 「核戦争の危機を訴える文学者の声明」署名者企画 ; 3).</v>
      </c>
      <c r="E1537" s="4" t="str">
        <f>""</f>
        <v/>
      </c>
      <c r="F1537" s="26"/>
      <c r="G1537" s="27" t="str">
        <f>"918.6/ﾆﾎ/3"</f>
        <v>918.6/ﾆﾎ/3</v>
      </c>
      <c r="H1537" s="4" t="str">
        <f t="shared" si="76"/>
        <v>2013/02/28</v>
      </c>
      <c r="I1537" s="6">
        <v>1233</v>
      </c>
      <c r="J1537" s="6">
        <v>100</v>
      </c>
      <c r="K1537" s="4" t="str">
        <f t="shared" si="75"/>
        <v>1  和書</v>
      </c>
      <c r="L1537" s="7"/>
    </row>
    <row r="1538" spans="1:12" ht="24" x14ac:dyDescent="0.15">
      <c r="A1538" s="36">
        <v>1537</v>
      </c>
      <c r="B1538" s="3" t="s">
        <v>92</v>
      </c>
      <c r="C1538" s="4" t="str">
        <f>"9100019851"</f>
        <v>9100019851</v>
      </c>
      <c r="D1538" s="5" t="str">
        <f>"佐多稲子 ; 竹西寛子.-- ほるぷ出版; 1983.8.-- (日本の原爆文学 / 「核戦争の危機を訴える文学者の声明」署名者企画 ; 4)."</f>
        <v>佐多稲子 ; 竹西寛子.-- ほるぷ出版; 1983.8.-- (日本の原爆文学 / 「核戦争の危機を訴える文学者の声明」署名者企画 ; 4).</v>
      </c>
      <c r="E1538" s="4" t="str">
        <f>""</f>
        <v/>
      </c>
      <c r="F1538" s="26"/>
      <c r="G1538" s="27" t="str">
        <f>"918.6/ﾆﾎ/4"</f>
        <v>918.6/ﾆﾎ/4</v>
      </c>
      <c r="H1538" s="4" t="str">
        <f t="shared" si="76"/>
        <v>2013/02/28</v>
      </c>
      <c r="I1538" s="6">
        <v>1233</v>
      </c>
      <c r="J1538" s="6">
        <v>100</v>
      </c>
      <c r="K1538" s="4" t="str">
        <f t="shared" si="75"/>
        <v>1  和書</v>
      </c>
      <c r="L1538" s="7"/>
    </row>
    <row r="1539" spans="1:12" ht="24" x14ac:dyDescent="0.15">
      <c r="A1539" s="36">
        <v>1538</v>
      </c>
      <c r="B1539" s="3" t="s">
        <v>92</v>
      </c>
      <c r="C1539" s="4" t="str">
        <f>"9100019868"</f>
        <v>9100019868</v>
      </c>
      <c r="D1539" s="5" t="str">
        <f>"井上光晴.-- ほるぷ出版; 1983.8.-- (日本の原爆文学 / 「核戦争の危機を訴える文学者の声明」署名者企画 ; 5)."</f>
        <v>井上光晴.-- ほるぷ出版; 1983.8.-- (日本の原爆文学 / 「核戦争の危機を訴える文学者の声明」署名者企画 ; 5).</v>
      </c>
      <c r="E1539" s="4" t="str">
        <f>""</f>
        <v/>
      </c>
      <c r="F1539" s="26"/>
      <c r="G1539" s="27" t="str">
        <f>"918.6/ﾆﾎ/5"</f>
        <v>918.6/ﾆﾎ/5</v>
      </c>
      <c r="H1539" s="4" t="str">
        <f t="shared" si="76"/>
        <v>2013/02/28</v>
      </c>
      <c r="I1539" s="6">
        <v>1233</v>
      </c>
      <c r="J1539" s="6">
        <v>100</v>
      </c>
      <c r="K1539" s="4" t="str">
        <f t="shared" si="75"/>
        <v>1  和書</v>
      </c>
      <c r="L1539" s="7"/>
    </row>
    <row r="1540" spans="1:12" ht="24" x14ac:dyDescent="0.15">
      <c r="A1540" s="36">
        <v>1539</v>
      </c>
      <c r="B1540" s="3" t="s">
        <v>92</v>
      </c>
      <c r="C1540" s="4" t="str">
        <f>"9100019875"</f>
        <v>9100019875</v>
      </c>
      <c r="D1540" s="5" t="str">
        <f>"堀田善衛.-- ほるぷ出版; 1983.8.-- (日本の原爆文学 / 「核戦争の危機を訴える文学者の声明」署名者企画 ; 6)."</f>
        <v>堀田善衛.-- ほるぷ出版; 1983.8.-- (日本の原爆文学 / 「核戦争の危機を訴える文学者の声明」署名者企画 ; 6).</v>
      </c>
      <c r="E1540" s="4" t="str">
        <f>""</f>
        <v/>
      </c>
      <c r="F1540" s="26"/>
      <c r="G1540" s="27" t="str">
        <f>"918.6/ﾆﾎ/6"</f>
        <v>918.6/ﾆﾎ/6</v>
      </c>
      <c r="H1540" s="4" t="str">
        <f t="shared" si="76"/>
        <v>2013/02/28</v>
      </c>
      <c r="I1540" s="6">
        <v>1233</v>
      </c>
      <c r="J1540" s="6">
        <v>100</v>
      </c>
      <c r="K1540" s="4" t="str">
        <f t="shared" si="75"/>
        <v>1  和書</v>
      </c>
      <c r="L1540" s="7"/>
    </row>
    <row r="1541" spans="1:12" ht="24" x14ac:dyDescent="0.15">
      <c r="A1541" s="36">
        <v>1540</v>
      </c>
      <c r="B1541" s="3" t="s">
        <v>92</v>
      </c>
      <c r="C1541" s="4" t="str">
        <f>"9100019882"</f>
        <v>9100019882</v>
      </c>
      <c r="D1541" s="5" t="str">
        <f>"いいだもも.-- ほるぷ出版; 1983.8.-- (日本の原爆文学 / 「核戦争の危機を訴える文学者の声明」署名者企画 ; 7)."</f>
        <v>いいだもも.-- ほるぷ出版; 1983.8.-- (日本の原爆文学 / 「核戦争の危機を訴える文学者の声明」署名者企画 ; 7).</v>
      </c>
      <c r="E1541" s="4" t="str">
        <f>""</f>
        <v/>
      </c>
      <c r="F1541" s="26"/>
      <c r="G1541" s="27" t="str">
        <f>"918.6/ﾆﾎ/7"</f>
        <v>918.6/ﾆﾎ/7</v>
      </c>
      <c r="H1541" s="4" t="str">
        <f t="shared" si="76"/>
        <v>2013/02/28</v>
      </c>
      <c r="I1541" s="6">
        <v>1233</v>
      </c>
      <c r="J1541" s="6">
        <v>100</v>
      </c>
      <c r="K1541" s="4" t="str">
        <f t="shared" si="75"/>
        <v>1  和書</v>
      </c>
      <c r="L1541" s="7"/>
    </row>
    <row r="1542" spans="1:12" ht="24" x14ac:dyDescent="0.15">
      <c r="A1542" s="36">
        <v>1541</v>
      </c>
      <c r="B1542" s="3" t="s">
        <v>92</v>
      </c>
      <c r="C1542" s="4" t="str">
        <f>"9100019899"</f>
        <v>9100019899</v>
      </c>
      <c r="D1542" s="5" t="str">
        <f>"小田実 ; 武田泰淳.-- ほるぷ出版; 1983.8.-- (日本の原爆文学 / 「核戦争の危機を訴える文学者の声明」署名者企画 ; 8)."</f>
        <v>小田実 ; 武田泰淳.-- ほるぷ出版; 1983.8.-- (日本の原爆文学 / 「核戦争の危機を訴える文学者の声明」署名者企画 ; 8).</v>
      </c>
      <c r="E1542" s="4" t="str">
        <f>""</f>
        <v/>
      </c>
      <c r="F1542" s="26"/>
      <c r="G1542" s="27" t="str">
        <f>"918.6/ﾆﾎ/8"</f>
        <v>918.6/ﾆﾎ/8</v>
      </c>
      <c r="H1542" s="4" t="str">
        <f t="shared" si="76"/>
        <v>2013/02/28</v>
      </c>
      <c r="I1542" s="6">
        <v>1233</v>
      </c>
      <c r="J1542" s="6">
        <v>100</v>
      </c>
      <c r="K1542" s="4" t="str">
        <f t="shared" si="75"/>
        <v>1  和書</v>
      </c>
      <c r="L1542" s="7"/>
    </row>
    <row r="1543" spans="1:12" ht="24" x14ac:dyDescent="0.15">
      <c r="A1543" s="36">
        <v>1542</v>
      </c>
      <c r="B1543" s="3" t="s">
        <v>92</v>
      </c>
      <c r="C1543" s="4" t="str">
        <f>"9100019905"</f>
        <v>9100019905</v>
      </c>
      <c r="D1543" s="5" t="str">
        <f>"大江健三郎 ; 金井利博.-- ほるぷ出版; 1983.8.-- (日本の原爆文学 / 「核戦争の危機を訴える文学者の声明」署名者企画 ; 9)."</f>
        <v>大江健三郎 ; 金井利博.-- ほるぷ出版; 1983.8.-- (日本の原爆文学 / 「核戦争の危機を訴える文学者の声明」署名者企画 ; 9).</v>
      </c>
      <c r="E1543" s="4" t="str">
        <f>""</f>
        <v/>
      </c>
      <c r="F1543" s="26"/>
      <c r="G1543" s="27" t="str">
        <f>"918.6/ﾆﾎ/9"</f>
        <v>918.6/ﾆﾎ/9</v>
      </c>
      <c r="H1543" s="4" t="str">
        <f t="shared" si="76"/>
        <v>2013/02/28</v>
      </c>
      <c r="I1543" s="6">
        <v>1233</v>
      </c>
      <c r="J1543" s="6">
        <v>100</v>
      </c>
      <c r="K1543" s="4" t="str">
        <f t="shared" si="75"/>
        <v>1  和書</v>
      </c>
      <c r="L1543" s="7"/>
    </row>
    <row r="1544" spans="1:12" ht="24" x14ac:dyDescent="0.15">
      <c r="A1544" s="36">
        <v>1543</v>
      </c>
      <c r="B1544" s="3" t="s">
        <v>92</v>
      </c>
      <c r="C1544" s="4" t="str">
        <f>"9100019912"</f>
        <v>9100019912</v>
      </c>
      <c r="D1544" s="5" t="str">
        <f t="shared" ref="D1544:D1549" si="77">"日本の原爆文学 / 「核戦争の危機を訴える文学者の声明」署名者企画 ; 10 短編 1 - 15 評論/エッセイ.-- ほるぷ出版; 1983."</f>
        <v>日本の原爆文学 / 「核戦争の危機を訴える文学者の声明」署名者企画 ; 10 短編 1 - 15 評論/エッセイ.-- ほるぷ出版; 1983.</v>
      </c>
      <c r="E1544" s="4" t="str">
        <f>"10 短編 1"</f>
        <v>10 短編 1</v>
      </c>
      <c r="F1544" s="26"/>
      <c r="G1544" s="27" t="str">
        <f>"918.6/ﾆﾎ/10"</f>
        <v>918.6/ﾆﾎ/10</v>
      </c>
      <c r="H1544" s="4" t="str">
        <f t="shared" si="76"/>
        <v>2013/02/28</v>
      </c>
      <c r="I1544" s="6">
        <v>1233</v>
      </c>
      <c r="J1544" s="6">
        <v>100</v>
      </c>
      <c r="K1544" s="4" t="str">
        <f t="shared" si="75"/>
        <v>1  和書</v>
      </c>
      <c r="L1544" s="7"/>
    </row>
    <row r="1545" spans="1:12" ht="24" x14ac:dyDescent="0.15">
      <c r="A1545" s="36">
        <v>1544</v>
      </c>
      <c r="B1545" s="3" t="s">
        <v>92</v>
      </c>
      <c r="C1545" s="4" t="str">
        <f>"9100019929"</f>
        <v>9100019929</v>
      </c>
      <c r="D1545" s="5" t="str">
        <f t="shared" si="77"/>
        <v>日本の原爆文学 / 「核戦争の危機を訴える文学者の声明」署名者企画 ; 10 短編 1 - 15 評論/エッセイ.-- ほるぷ出版; 1983.</v>
      </c>
      <c r="E1545" s="4" t="str">
        <f>"11 短編 2"</f>
        <v>11 短編 2</v>
      </c>
      <c r="F1545" s="26"/>
      <c r="G1545" s="27" t="str">
        <f>"918.6/ﾆﾎ/11"</f>
        <v>918.6/ﾆﾎ/11</v>
      </c>
      <c r="H1545" s="4" t="str">
        <f t="shared" si="76"/>
        <v>2013/02/28</v>
      </c>
      <c r="I1545" s="6">
        <v>1233</v>
      </c>
      <c r="J1545" s="6">
        <v>100</v>
      </c>
      <c r="K1545" s="4" t="str">
        <f t="shared" si="75"/>
        <v>1  和書</v>
      </c>
      <c r="L1545" s="7"/>
    </row>
    <row r="1546" spans="1:12" ht="24" x14ac:dyDescent="0.15">
      <c r="A1546" s="36">
        <v>1545</v>
      </c>
      <c r="B1546" s="3" t="s">
        <v>92</v>
      </c>
      <c r="C1546" s="4" t="str">
        <f>"9100019936"</f>
        <v>9100019936</v>
      </c>
      <c r="D1546" s="5" t="str">
        <f t="shared" si="77"/>
        <v>日本の原爆文学 / 「核戦争の危機を訴える文学者の声明」署名者企画 ; 10 短編 1 - 15 評論/エッセイ.-- ほるぷ出版; 1983.</v>
      </c>
      <c r="E1546" s="4" t="str">
        <f>"12 戯曲"</f>
        <v>12 戯曲</v>
      </c>
      <c r="F1546" s="26"/>
      <c r="G1546" s="27" t="str">
        <f>"918.6/ﾆﾎ/12"</f>
        <v>918.6/ﾆﾎ/12</v>
      </c>
      <c r="H1546" s="4" t="str">
        <f t="shared" si="76"/>
        <v>2013/02/28</v>
      </c>
      <c r="I1546" s="6">
        <v>1234</v>
      </c>
      <c r="J1546" s="6">
        <v>100</v>
      </c>
      <c r="K1546" s="4" t="str">
        <f t="shared" si="75"/>
        <v>1  和書</v>
      </c>
      <c r="L1546" s="7"/>
    </row>
    <row r="1547" spans="1:12" ht="24" x14ac:dyDescent="0.15">
      <c r="A1547" s="36">
        <v>1546</v>
      </c>
      <c r="B1547" s="3" t="s">
        <v>92</v>
      </c>
      <c r="C1547" s="4" t="str">
        <f>"9100019943"</f>
        <v>9100019943</v>
      </c>
      <c r="D1547" s="5" t="str">
        <f t="shared" si="77"/>
        <v>日本の原爆文学 / 「核戦争の危機を訴える文学者の声明」署名者企画 ; 10 短編 1 - 15 評論/エッセイ.-- ほるぷ出版; 1983.</v>
      </c>
      <c r="E1547" s="4" t="str">
        <f>"13 詩歌"</f>
        <v>13 詩歌</v>
      </c>
      <c r="F1547" s="26"/>
      <c r="G1547" s="27" t="str">
        <f>"918.6/ﾆﾎ/13"</f>
        <v>918.6/ﾆﾎ/13</v>
      </c>
      <c r="H1547" s="4" t="str">
        <f t="shared" si="76"/>
        <v>2013/02/28</v>
      </c>
      <c r="I1547" s="6">
        <v>1234</v>
      </c>
      <c r="J1547" s="6">
        <v>100</v>
      </c>
      <c r="K1547" s="4" t="str">
        <f t="shared" si="75"/>
        <v>1  和書</v>
      </c>
      <c r="L1547" s="7"/>
    </row>
    <row r="1548" spans="1:12" ht="24" x14ac:dyDescent="0.15">
      <c r="A1548" s="36">
        <v>1547</v>
      </c>
      <c r="B1548" s="3" t="s">
        <v>92</v>
      </c>
      <c r="C1548" s="4" t="str">
        <f>"9100019950"</f>
        <v>9100019950</v>
      </c>
      <c r="D1548" s="5" t="str">
        <f t="shared" si="77"/>
        <v>日本の原爆文学 / 「核戦争の危機を訴える文学者の声明」署名者企画 ; 10 短編 1 - 15 評論/エッセイ.-- ほるぷ出版; 1983.</v>
      </c>
      <c r="E1548" s="5" t="str">
        <f>"14 手記/記録"</f>
        <v>14 手記/記録</v>
      </c>
      <c r="F1548" s="26"/>
      <c r="G1548" s="27" t="str">
        <f>"918.6/ﾆﾎ/14"</f>
        <v>918.6/ﾆﾎ/14</v>
      </c>
      <c r="H1548" s="4" t="str">
        <f t="shared" si="76"/>
        <v>2013/02/28</v>
      </c>
      <c r="I1548" s="6">
        <v>1234</v>
      </c>
      <c r="J1548" s="6">
        <v>100</v>
      </c>
      <c r="K1548" s="4" t="str">
        <f t="shared" si="75"/>
        <v>1  和書</v>
      </c>
      <c r="L1548" s="7"/>
    </row>
    <row r="1549" spans="1:12" ht="24" x14ac:dyDescent="0.15">
      <c r="A1549" s="36">
        <v>1548</v>
      </c>
      <c r="B1549" s="3" t="s">
        <v>92</v>
      </c>
      <c r="C1549" s="4" t="str">
        <f>"9100019967"</f>
        <v>9100019967</v>
      </c>
      <c r="D1549" s="5" t="str">
        <f t="shared" si="77"/>
        <v>日本の原爆文学 / 「核戦争の危機を訴える文学者の声明」署名者企画 ; 10 短編 1 - 15 評論/エッセイ.-- ほるぷ出版; 1983.</v>
      </c>
      <c r="E1549" s="5" t="str">
        <f>"15 評論/エッセイ"</f>
        <v>15 評論/エッセイ</v>
      </c>
      <c r="F1549" s="26"/>
      <c r="G1549" s="27" t="str">
        <f>"918.6/ﾆﾎ/15"</f>
        <v>918.6/ﾆﾎ/15</v>
      </c>
      <c r="H1549" s="4" t="str">
        <f t="shared" si="76"/>
        <v>2013/02/28</v>
      </c>
      <c r="I1549" s="6">
        <v>1234</v>
      </c>
      <c r="J1549" s="6">
        <v>100</v>
      </c>
      <c r="K1549" s="4" t="str">
        <f t="shared" si="75"/>
        <v>1  和書</v>
      </c>
      <c r="L1549" s="7"/>
    </row>
    <row r="1550" spans="1:12" ht="24" x14ac:dyDescent="0.15">
      <c r="A1550" s="36">
        <v>1549</v>
      </c>
      <c r="B1550" s="3" t="s">
        <v>93</v>
      </c>
      <c r="C1550" s="4" t="str">
        <f>"0000125154"</f>
        <v>0000125154</v>
      </c>
      <c r="D1550" s="5" t="str">
        <f>"李白全詩集 / 李白 [著] ; 久保天随訳註 ; : セット - 3巻.-- 日本図書センター; 1978.6.-- (続国訳漢文大成)."</f>
        <v>李白全詩集 / 李白 [著] ; 久保天随訳註 ; : セット - 3巻.-- 日本図書センター; 1978.6.-- (続国訳漢文大成).</v>
      </c>
      <c r="E1550" s="4" t="str">
        <f>"1巻"</f>
        <v>1巻</v>
      </c>
      <c r="F1550" s="26"/>
      <c r="G1550" s="27" t="str">
        <f>"921.43/ﾘ/1"</f>
        <v>921.43/ﾘ/1</v>
      </c>
      <c r="H1550" s="4" t="str">
        <f>"1994/03/31"</f>
        <v>1994/03/31</v>
      </c>
      <c r="I1550" s="6">
        <v>10743</v>
      </c>
      <c r="J1550" s="8">
        <v>500</v>
      </c>
      <c r="K1550" s="4" t="str">
        <f t="shared" si="75"/>
        <v>1  和書</v>
      </c>
      <c r="L1550" s="7"/>
    </row>
    <row r="1551" spans="1:12" ht="24" x14ac:dyDescent="0.15">
      <c r="A1551" s="36">
        <v>1550</v>
      </c>
      <c r="B1551" s="3" t="s">
        <v>93</v>
      </c>
      <c r="C1551" s="4" t="str">
        <f>"0000126816"</f>
        <v>0000126816</v>
      </c>
      <c r="D1551" s="5" t="str">
        <f>"李白全詩集 / 李白 [著] ; 久保天随訳註 ; : セット - 3巻.-- 日本図書センター; 1978.6.-- (続国訳漢文大成)."</f>
        <v>李白全詩集 / 李白 [著] ; 久保天随訳註 ; : セット - 3巻.-- 日本図書センター; 1978.6.-- (続国訳漢文大成).</v>
      </c>
      <c r="E1551" s="4" t="str">
        <f>"2巻"</f>
        <v>2巻</v>
      </c>
      <c r="F1551" s="26"/>
      <c r="G1551" s="27" t="str">
        <f>"921.43/ﾘ/2"</f>
        <v>921.43/ﾘ/2</v>
      </c>
      <c r="H1551" s="4" t="str">
        <f>"1994/03/31"</f>
        <v>1994/03/31</v>
      </c>
      <c r="I1551" s="6">
        <v>10743</v>
      </c>
      <c r="J1551" s="8">
        <v>500</v>
      </c>
      <c r="K1551" s="4" t="str">
        <f t="shared" si="75"/>
        <v>1  和書</v>
      </c>
      <c r="L1551" s="7"/>
    </row>
    <row r="1552" spans="1:12" ht="24" x14ac:dyDescent="0.15">
      <c r="A1552" s="36">
        <v>1551</v>
      </c>
      <c r="B1552" s="3" t="s">
        <v>93</v>
      </c>
      <c r="C1552" s="4" t="str">
        <f>"0000125116"</f>
        <v>0000125116</v>
      </c>
      <c r="D1552" s="5" t="str">
        <f>"李白全詩集 / 李白 [著] ; 久保天随訳註 ; : セット - 3巻.-- 日本図書センター; 1978.6.-- (続国訳漢文大成)."</f>
        <v>李白全詩集 / 李白 [著] ; 久保天随訳註 ; : セット - 3巻.-- 日本図書センター; 1978.6.-- (続国訳漢文大成).</v>
      </c>
      <c r="E1552" s="4" t="str">
        <f>"3巻"</f>
        <v>3巻</v>
      </c>
      <c r="F1552" s="26"/>
      <c r="G1552" s="27" t="str">
        <f>"921.43/ﾘ/3"</f>
        <v>921.43/ﾘ/3</v>
      </c>
      <c r="H1552" s="4" t="str">
        <f>"1994/03/31"</f>
        <v>1994/03/31</v>
      </c>
      <c r="I1552" s="6">
        <v>10858</v>
      </c>
      <c r="J1552" s="8">
        <v>500</v>
      </c>
      <c r="K1552" s="4" t="str">
        <f t="shared" si="75"/>
        <v>1  和書</v>
      </c>
      <c r="L1552" s="7"/>
    </row>
    <row r="1553" spans="1:12" ht="24" x14ac:dyDescent="0.15">
      <c r="A1553" s="36">
        <v>1552</v>
      </c>
      <c r="B1553" s="3" t="s">
        <v>94</v>
      </c>
      <c r="C1553" s="4" t="str">
        <f>"0002484747"</f>
        <v>0002484747</v>
      </c>
      <c r="D1553" s="5" t="str">
        <f>"詩 / 加納秀夫編 ; : セット - 3.-- 大修館書店; 1972.4-.-- (講座英米文学史 ; 1-3)."</f>
        <v>詩 / 加納秀夫編 ; : セット - 3.-- 大修館書店; 1972.4-.-- (講座英米文学史 ; 1-3).</v>
      </c>
      <c r="E1553" s="4" t="str">
        <f>"1"</f>
        <v>1</v>
      </c>
      <c r="F1553" s="26"/>
      <c r="G1553" s="27" t="str">
        <f>"930.2/ｺｳ/1"</f>
        <v>930.2/ｺｳ/1</v>
      </c>
      <c r="H1553" s="4" t="str">
        <f>"2002/04/04"</f>
        <v>2002/04/04</v>
      </c>
      <c r="I1553" s="6">
        <v>3307</v>
      </c>
      <c r="J1553" s="6">
        <v>100</v>
      </c>
      <c r="K1553" s="4" t="str">
        <f t="shared" si="75"/>
        <v>1  和書</v>
      </c>
      <c r="L1553" s="7"/>
    </row>
    <row r="1554" spans="1:12" ht="24" x14ac:dyDescent="0.15">
      <c r="A1554" s="36">
        <v>1553</v>
      </c>
      <c r="B1554" s="3" t="s">
        <v>94</v>
      </c>
      <c r="C1554" s="4" t="str">
        <f>"0002484761"</f>
        <v>0002484761</v>
      </c>
      <c r="D1554" s="5" t="str">
        <f>"劇 / 冨原芳彰, 笹山隆著 ; 小津次郎責任編集 ; 1, 2, 3.-- 大修館書店; 1987.3-.-- (講座英米文学史 ; 5-7)."</f>
        <v>劇 / 冨原芳彰, 笹山隆著 ; 小津次郎責任編集 ; 1, 2, 3.-- 大修館書店; 1987.3-.-- (講座英米文学史 ; 5-7).</v>
      </c>
      <c r="E1554" s="4" t="str">
        <f>"1"</f>
        <v>1</v>
      </c>
      <c r="F1554" s="26"/>
      <c r="G1554" s="27" t="str">
        <f>"930.2/ｺｳ/5"</f>
        <v>930.2/ｺｳ/5</v>
      </c>
      <c r="H1554" s="4" t="str">
        <f>"2002/04/04"</f>
        <v>2002/04/04</v>
      </c>
      <c r="I1554" s="6">
        <v>3024</v>
      </c>
      <c r="J1554" s="6">
        <v>100</v>
      </c>
      <c r="K1554" s="4" t="str">
        <f t="shared" ref="K1554:K1555" si="78">"1  和書"</f>
        <v>1  和書</v>
      </c>
      <c r="L1554" s="7"/>
    </row>
    <row r="1555" spans="1:12" ht="24" x14ac:dyDescent="0.15">
      <c r="A1555" s="36">
        <v>1554</v>
      </c>
      <c r="B1555" s="3" t="s">
        <v>94</v>
      </c>
      <c r="C1555" s="4" t="str">
        <f>"0002484754"</f>
        <v>0002484754</v>
      </c>
      <c r="D1555" s="5" t="str">
        <f>"劇 / 冨原芳彰, 笹山隆著 ; 小津次郎責任編集 ; 1, 2, 3.-- 大修館書店; 1987.3-.-- (講座英米文学史 ; 5-7)."</f>
        <v>劇 / 冨原芳彰, 笹山隆著 ; 小津次郎責任編集 ; 1, 2, 3.-- 大修館書店; 1987.3-.-- (講座英米文学史 ; 5-7).</v>
      </c>
      <c r="E1555" s="4" t="str">
        <f>"3"</f>
        <v>3</v>
      </c>
      <c r="F1555" s="26"/>
      <c r="G1555" s="27" t="str">
        <f>"930.2/ｺｳ/7"</f>
        <v>930.2/ｺｳ/7</v>
      </c>
      <c r="H1555" s="4" t="str">
        <f>"2002/04/04"</f>
        <v>2002/04/04</v>
      </c>
      <c r="I1555" s="6">
        <v>4347</v>
      </c>
      <c r="J1555" s="6">
        <v>100</v>
      </c>
      <c r="K1555" s="4" t="str">
        <f t="shared" si="78"/>
        <v>1  和書</v>
      </c>
      <c r="L1555" s="7"/>
    </row>
    <row r="1556" spans="1:12" ht="36" x14ac:dyDescent="0.15">
      <c r="A1556" s="36">
        <v>1555</v>
      </c>
      <c r="B1556" s="3" t="s">
        <v>94</v>
      </c>
      <c r="C1556" s="4" t="str">
        <f>"0000874700"</f>
        <v>0000874700</v>
      </c>
      <c r="D1556" s="5" t="str">
        <f>"The Field Day anthology of Irish writing / general editor, Seamus Deane ; associate editors, Andrew Carpenter, Jonathan Williams ; : set - v. 3.-- Field Day."</f>
        <v>The Field Day anthology of Irish writing / general editor, Seamus Deane ; associate editors, Andrew Carpenter, Jonathan Williams ; : set - v. 3.-- Field Day.</v>
      </c>
      <c r="E1556" s="4" t="str">
        <f>"v. 1"</f>
        <v>v. 1</v>
      </c>
      <c r="F1556" s="26"/>
      <c r="G1556" s="27" t="str">
        <f>"930.2/FI/1"</f>
        <v>930.2/FI/1</v>
      </c>
      <c r="H1556" s="4" t="str">
        <f>"1995/10/09"</f>
        <v>1995/10/09</v>
      </c>
      <c r="I1556" s="6">
        <v>9000</v>
      </c>
      <c r="J1556" s="6">
        <v>100</v>
      </c>
      <c r="K1556" s="4" t="str">
        <f t="shared" ref="K1556:K1561" si="79">"2  洋書"</f>
        <v>2  洋書</v>
      </c>
      <c r="L1556" s="7"/>
    </row>
    <row r="1557" spans="1:12" ht="36" x14ac:dyDescent="0.15">
      <c r="A1557" s="36">
        <v>1556</v>
      </c>
      <c r="B1557" s="3" t="s">
        <v>94</v>
      </c>
      <c r="C1557" s="4" t="str">
        <f>"0000874717"</f>
        <v>0000874717</v>
      </c>
      <c r="D1557" s="5" t="str">
        <f>"The Field Day anthology of Irish writing / general editor, Seamus Deane ; associate editors, Andrew Carpenter, Jonathan Williams ; : set - v. 3.-- Field Day."</f>
        <v>The Field Day anthology of Irish writing / general editor, Seamus Deane ; associate editors, Andrew Carpenter, Jonathan Williams ; : set - v. 3.-- Field Day.</v>
      </c>
      <c r="E1557" s="4" t="str">
        <f>"v. 2"</f>
        <v>v. 2</v>
      </c>
      <c r="F1557" s="26"/>
      <c r="G1557" s="27" t="str">
        <f>"930.2/FI/2"</f>
        <v>930.2/FI/2</v>
      </c>
      <c r="H1557" s="4" t="str">
        <f>"1995/10/09"</f>
        <v>1995/10/09</v>
      </c>
      <c r="I1557" s="6">
        <v>9000</v>
      </c>
      <c r="J1557" s="6">
        <v>100</v>
      </c>
      <c r="K1557" s="4" t="str">
        <f t="shared" si="79"/>
        <v>2  洋書</v>
      </c>
      <c r="L1557" s="7"/>
    </row>
    <row r="1558" spans="1:12" ht="36" x14ac:dyDescent="0.15">
      <c r="A1558" s="36">
        <v>1557</v>
      </c>
      <c r="B1558" s="3" t="s">
        <v>94</v>
      </c>
      <c r="C1558" s="4" t="str">
        <f>"0000874724"</f>
        <v>0000874724</v>
      </c>
      <c r="D1558" s="5" t="str">
        <f>"The Field Day anthology of Irish writing / general editor, Seamus Deane ; associate editors, Andrew Carpenter, Jonathan Williams ; : set - v. 3.-- Field Day."</f>
        <v>The Field Day anthology of Irish writing / general editor, Seamus Deane ; associate editors, Andrew Carpenter, Jonathan Williams ; : set - v. 3.-- Field Day.</v>
      </c>
      <c r="E1558" s="4" t="str">
        <f>"v. 3"</f>
        <v>v. 3</v>
      </c>
      <c r="F1558" s="26"/>
      <c r="G1558" s="27" t="str">
        <f>"930.2/FI/3"</f>
        <v>930.2/FI/3</v>
      </c>
      <c r="H1558" s="4" t="str">
        <f>"1995/10/09"</f>
        <v>1995/10/09</v>
      </c>
      <c r="I1558" s="6">
        <v>9000</v>
      </c>
      <c r="J1558" s="6">
        <v>100</v>
      </c>
      <c r="K1558" s="4" t="str">
        <f t="shared" si="79"/>
        <v>2  洋書</v>
      </c>
      <c r="L1558" s="7"/>
    </row>
    <row r="1559" spans="1:12" ht="24" x14ac:dyDescent="0.15">
      <c r="A1559" s="36">
        <v>1558</v>
      </c>
      <c r="B1559" s="3" t="s">
        <v>94</v>
      </c>
      <c r="C1559" s="4" t="str">
        <f>"0000843126"</f>
        <v>0000843126</v>
      </c>
      <c r="D1559" s="5" t="str">
        <f>"Modern Irish literature : sources and founders / Vivian Mercier ; edited and presented by Eil◆U00ED◆s Dillon.-- Clarendon Press."</f>
        <v>Modern Irish literature : sources and founders / Vivian Mercier ; edited and presented by Eil◆U00ED◆s Dillon.-- Clarendon Press.</v>
      </c>
      <c r="E1559" s="4" t="str">
        <f>""</f>
        <v/>
      </c>
      <c r="F1559" s="26"/>
      <c r="G1559" s="27" t="str">
        <f>"930.2/ME"</f>
        <v>930.2/ME</v>
      </c>
      <c r="H1559" s="4" t="str">
        <f>"1995/04/01"</f>
        <v>1995/04/01</v>
      </c>
      <c r="I1559" s="6">
        <v>7619</v>
      </c>
      <c r="J1559" s="6">
        <v>100</v>
      </c>
      <c r="K1559" s="4" t="str">
        <f t="shared" si="79"/>
        <v>2  洋書</v>
      </c>
      <c r="L1559" s="7"/>
    </row>
    <row r="1560" spans="1:12" ht="24" x14ac:dyDescent="0.15">
      <c r="A1560" s="36">
        <v>1559</v>
      </c>
      <c r="B1560" s="3" t="s">
        <v>94</v>
      </c>
      <c r="C1560" s="4" t="str">
        <f>"0002672120"</f>
        <v>0002672120</v>
      </c>
      <c r="D1560" s="5" t="str">
        <f>"English romanticism and the Celtic world / edited by Gerard Carruthers and Alan Rawes.-- Cambridge University Press; 2003."</f>
        <v>English romanticism and the Celtic world / edited by Gerard Carruthers and Alan Rawes.-- Cambridge University Press; 2003.</v>
      </c>
      <c r="E1560" s="4" t="str">
        <f>""</f>
        <v/>
      </c>
      <c r="F1560" s="26"/>
      <c r="G1560" s="27" t="str">
        <f>"930.26/CA"</f>
        <v>930.26/CA</v>
      </c>
      <c r="H1560" s="4" t="str">
        <f>"2004/10/12"</f>
        <v>2004/10/12</v>
      </c>
      <c r="I1560" s="6">
        <v>9468</v>
      </c>
      <c r="J1560" s="6">
        <v>100</v>
      </c>
      <c r="K1560" s="4" t="str">
        <f t="shared" si="79"/>
        <v>2  洋書</v>
      </c>
      <c r="L1560" s="7"/>
    </row>
    <row r="1561" spans="1:12" ht="24" x14ac:dyDescent="0.15">
      <c r="A1561" s="36">
        <v>1560</v>
      </c>
      <c r="B1561" s="3" t="s">
        <v>94</v>
      </c>
      <c r="C1561" s="4" t="str">
        <f>"0002680118"</f>
        <v>0002680118</v>
      </c>
      <c r="D1561" s="5" t="str">
        <f>"Primitivism, science, and the Irish revival / Sin◆U00E9◆ad Garrigan Mattar.-- Clarendon Press; 2004.-- (Oxford English monographs)."</f>
        <v>Primitivism, science, and the Irish revival / Sin◆U00E9◆ad Garrigan Mattar.-- Clarendon Press; 2004.-- (Oxford English monographs).</v>
      </c>
      <c r="E1561" s="4" t="str">
        <f>""</f>
        <v/>
      </c>
      <c r="F1561" s="26"/>
      <c r="G1561" s="27" t="str">
        <f>"930.26/GA"</f>
        <v>930.26/GA</v>
      </c>
      <c r="H1561" s="4" t="str">
        <f>"2005/02/02"</f>
        <v>2005/02/02</v>
      </c>
      <c r="I1561" s="6">
        <v>14094</v>
      </c>
      <c r="J1561" s="8">
        <v>500</v>
      </c>
      <c r="K1561" s="4" t="str">
        <f t="shared" si="79"/>
        <v>2  洋書</v>
      </c>
      <c r="L1561" s="7"/>
    </row>
    <row r="1562" spans="1:12" ht="24" x14ac:dyDescent="0.15">
      <c r="A1562" s="36">
        <v>1561</v>
      </c>
      <c r="B1562" s="3" t="s">
        <v>94</v>
      </c>
      <c r="C1562" s="4" t="str">
        <f>"0001306927"</f>
        <v>0001306927</v>
      </c>
      <c r="D1562" s="5" t="str">
        <f>"ブルームズベリーの群像 : 創造と愛の日々 / 坂本公延著.-- 研究社出版; 1995.6."</f>
        <v>ブルームズベリーの群像 : 創造と愛の日々 / 坂本公延著.-- 研究社出版; 1995.6.</v>
      </c>
      <c r="E1562" s="4" t="str">
        <f>""</f>
        <v/>
      </c>
      <c r="F1562" s="26"/>
      <c r="G1562" s="27" t="str">
        <f>"930.27/ｻｶ"</f>
        <v>930.27/ｻｶ</v>
      </c>
      <c r="H1562" s="4" t="str">
        <f>"1996/02/24"</f>
        <v>1996/02/24</v>
      </c>
      <c r="I1562" s="6">
        <v>2700</v>
      </c>
      <c r="J1562" s="6">
        <v>100</v>
      </c>
      <c r="K1562" s="4" t="str">
        <f>"1  和書"</f>
        <v>1  和書</v>
      </c>
      <c r="L1562" s="7"/>
    </row>
    <row r="1563" spans="1:12" x14ac:dyDescent="0.15">
      <c r="A1563" s="36">
        <v>1562</v>
      </c>
      <c r="B1563" s="3" t="s">
        <v>94</v>
      </c>
      <c r="C1563" s="4" t="str">
        <f>"0001044867"</f>
        <v>0001044867</v>
      </c>
      <c r="D1563" s="5" t="str">
        <f>"モダニズムの詩学 : 解体と創造 / 丹治愛 [著].-- みすず書房; 1994.5."</f>
        <v>モダニズムの詩学 : 解体と創造 / 丹治愛 [著].-- みすず書房; 1994.5.</v>
      </c>
      <c r="E1563" s="4" t="str">
        <f>""</f>
        <v/>
      </c>
      <c r="F1563" s="26"/>
      <c r="G1563" s="27" t="str">
        <f>"930.27/ﾀﾝ"</f>
        <v>930.27/ﾀﾝ</v>
      </c>
      <c r="H1563" s="4" t="str">
        <f>"1996/03/29"</f>
        <v>1996/03/29</v>
      </c>
      <c r="I1563" s="6">
        <v>1847</v>
      </c>
      <c r="J1563" s="6">
        <v>100</v>
      </c>
      <c r="K1563" s="4" t="str">
        <f>"1  和書"</f>
        <v>1  和書</v>
      </c>
      <c r="L1563" s="7"/>
    </row>
    <row r="1564" spans="1:12" ht="24" x14ac:dyDescent="0.15">
      <c r="A1564" s="36">
        <v>1563</v>
      </c>
      <c r="B1564" s="3" t="s">
        <v>94</v>
      </c>
      <c r="C1564" s="4" t="str">
        <f>"0000570138"</f>
        <v>0000570138</v>
      </c>
      <c r="D1564" s="5" t="str">
        <f>"欧米人と異文化への対応 : 英米文学をめぐって / 藤田榮一著.-- 創元社; 1983.4."</f>
        <v>欧米人と異文化への対応 : 英米文学をめぐって / 藤田榮一著.-- 創元社; 1983.4.</v>
      </c>
      <c r="E1564" s="4" t="str">
        <f>""</f>
        <v/>
      </c>
      <c r="F1564" s="26"/>
      <c r="G1564" s="27" t="str">
        <f>"930.27/ﾌｼﾞ"</f>
        <v>930.27/ﾌｼﾞ</v>
      </c>
      <c r="H1564" s="4" t="str">
        <f>"1995/03/31"</f>
        <v>1995/03/31</v>
      </c>
      <c r="I1564" s="6">
        <v>1869</v>
      </c>
      <c r="J1564" s="6">
        <v>100</v>
      </c>
      <c r="K1564" s="4" t="str">
        <f>"1  和書"</f>
        <v>1  和書</v>
      </c>
      <c r="L1564" s="7"/>
    </row>
    <row r="1565" spans="1:12" ht="24" x14ac:dyDescent="0.15">
      <c r="A1565" s="36">
        <v>1564</v>
      </c>
      <c r="B1565" s="3" t="s">
        <v>94</v>
      </c>
      <c r="C1565" s="4" t="str">
        <f>"0001358056"</f>
        <v>0001358056</v>
      </c>
      <c r="D1565" s="5" t="str">
        <f>"アメリカ社会の批評家としてのホーソーン : アメリカ社会とロマンス / 山本雅著.-- 溪水社; 1996.2."</f>
        <v>アメリカ社会の批評家としてのホーソーン : アメリカ社会とロマンス / 山本雅著.-- 溪水社; 1996.2.</v>
      </c>
      <c r="E1565" s="4" t="str">
        <f>""</f>
        <v/>
      </c>
      <c r="F1565" s="26"/>
      <c r="G1565" s="27" t="str">
        <f>"930.28/ﾎｿ"</f>
        <v>930.28/ﾎｿ</v>
      </c>
      <c r="H1565" s="4" t="str">
        <f>"1997/05/08"</f>
        <v>1997/05/08</v>
      </c>
      <c r="I1565" s="6">
        <v>7560</v>
      </c>
      <c r="J1565" s="6">
        <v>100</v>
      </c>
      <c r="K1565" s="4" t="str">
        <f>"1  和書"</f>
        <v>1  和書</v>
      </c>
      <c r="L1565" s="7"/>
    </row>
    <row r="1566" spans="1:12" ht="60" x14ac:dyDescent="0.15">
      <c r="A1566" s="36">
        <v>1565</v>
      </c>
      <c r="B1566" s="3" t="s">
        <v>94</v>
      </c>
      <c r="C1566" s="4" t="str">
        <f>"0000466936"</f>
        <v>0000466936</v>
      </c>
      <c r="D1566" s="5" t="s">
        <v>95</v>
      </c>
      <c r="E1566" s="4" t="str">
        <f>""</f>
        <v/>
      </c>
      <c r="F1566" s="26"/>
      <c r="G1566" s="27" t="str">
        <f>"930.28/WO/1"</f>
        <v>930.28/WO/1</v>
      </c>
      <c r="H1566" s="4" t="str">
        <f>"1994/06/22"</f>
        <v>1994/06/22</v>
      </c>
      <c r="I1566" s="6">
        <v>24102</v>
      </c>
      <c r="J1566" s="8">
        <v>1000</v>
      </c>
      <c r="K1566" s="4" t="str">
        <f t="shared" ref="K1566:K1571" si="80">"2  洋書"</f>
        <v>2  洋書</v>
      </c>
      <c r="L1566" s="7"/>
    </row>
    <row r="1567" spans="1:12" ht="60" x14ac:dyDescent="0.15">
      <c r="A1567" s="36">
        <v>1566</v>
      </c>
      <c r="B1567" s="3" t="s">
        <v>94</v>
      </c>
      <c r="C1567" s="4" t="str">
        <f>"0000466943"</f>
        <v>0000466943</v>
      </c>
      <c r="D1567" s="5" t="s">
        <v>96</v>
      </c>
      <c r="E1567" s="4" t="str">
        <f>""</f>
        <v/>
      </c>
      <c r="F1567" s="26"/>
      <c r="G1567" s="27" t="str">
        <f>"930.28/WO/2"</f>
        <v>930.28/WO/2</v>
      </c>
      <c r="H1567" s="4" t="str">
        <f>"1994/06/22"</f>
        <v>1994/06/22</v>
      </c>
      <c r="I1567" s="6">
        <v>24102</v>
      </c>
      <c r="J1567" s="8">
        <v>1000</v>
      </c>
      <c r="K1567" s="4" t="str">
        <f t="shared" si="80"/>
        <v>2  洋書</v>
      </c>
      <c r="L1567" s="7"/>
    </row>
    <row r="1568" spans="1:12" ht="48" x14ac:dyDescent="0.15">
      <c r="A1568" s="36">
        <v>1567</v>
      </c>
      <c r="B1568" s="3" t="s">
        <v>94</v>
      </c>
      <c r="C1568" s="4" t="str">
        <f>"0000466950"</f>
        <v>0000466950</v>
      </c>
      <c r="D1568" s="5" t="s">
        <v>97</v>
      </c>
      <c r="E1568" s="4" t="str">
        <f>""</f>
        <v/>
      </c>
      <c r="F1568" s="26"/>
      <c r="G1568" s="27" t="str">
        <f>"930.28/WO/3"</f>
        <v>930.28/WO/3</v>
      </c>
      <c r="H1568" s="4" t="str">
        <f>"1994/06/22"</f>
        <v>1994/06/22</v>
      </c>
      <c r="I1568" s="6">
        <v>24102</v>
      </c>
      <c r="J1568" s="8">
        <v>1000</v>
      </c>
      <c r="K1568" s="4" t="str">
        <f t="shared" si="80"/>
        <v>2  洋書</v>
      </c>
      <c r="L1568" s="7"/>
    </row>
    <row r="1569" spans="1:12" ht="60" x14ac:dyDescent="0.15">
      <c r="A1569" s="36">
        <v>1568</v>
      </c>
      <c r="B1569" s="3" t="s">
        <v>94</v>
      </c>
      <c r="C1569" s="4" t="str">
        <f>"0000466967"</f>
        <v>0000466967</v>
      </c>
      <c r="D1569" s="5" t="s">
        <v>98</v>
      </c>
      <c r="E1569" s="4" t="str">
        <f>""</f>
        <v/>
      </c>
      <c r="F1569" s="26"/>
      <c r="G1569" s="27" t="str">
        <f>"930.28/WO/4"</f>
        <v>930.28/WO/4</v>
      </c>
      <c r="H1569" s="4" t="str">
        <f>"1994/06/22"</f>
        <v>1994/06/22</v>
      </c>
      <c r="I1569" s="6">
        <v>24102</v>
      </c>
      <c r="J1569" s="8">
        <v>1000</v>
      </c>
      <c r="K1569" s="4" t="str">
        <f t="shared" si="80"/>
        <v>2  洋書</v>
      </c>
      <c r="L1569" s="7"/>
    </row>
    <row r="1570" spans="1:12" ht="24" x14ac:dyDescent="0.15">
      <c r="A1570" s="36">
        <v>1569</v>
      </c>
      <c r="B1570" s="3" t="s">
        <v>94</v>
      </c>
      <c r="C1570" s="4" t="str">
        <f>"0000857116"</f>
        <v>0000857116</v>
      </c>
      <c r="D1570" s="5" t="str">
        <f>"""Stylistic arrangements"" : a study of William Butler Yeats's A Vision / Barbara L. Croft ; : alk. paper.-- Bucknell University Press."</f>
        <v>"Stylistic arrangements" : a study of William Butler Yeats's A Vision / Barbara L. Croft ; : alk. paper.-- Bucknell University Press.</v>
      </c>
      <c r="E1570" s="4" t="str">
        <f>": alk. paper"</f>
        <v>: alk. paper</v>
      </c>
      <c r="F1570" s="26"/>
      <c r="G1570" s="27" t="str">
        <f>"930.28/YE"</f>
        <v>930.28/YE</v>
      </c>
      <c r="H1570" s="4" t="str">
        <f>"1995/06/30"</f>
        <v>1995/06/30</v>
      </c>
      <c r="I1570" s="6">
        <v>5150</v>
      </c>
      <c r="J1570" s="6">
        <v>100</v>
      </c>
      <c r="K1570" s="4" t="str">
        <f t="shared" si="80"/>
        <v>2  洋書</v>
      </c>
      <c r="L1570" s="7"/>
    </row>
    <row r="1571" spans="1:12" ht="36" x14ac:dyDescent="0.15">
      <c r="A1571" s="36">
        <v>1570</v>
      </c>
      <c r="B1571" s="3" t="s">
        <v>94</v>
      </c>
      <c r="C1571" s="4" t="str">
        <f>"0002189147"</f>
        <v>0002189147</v>
      </c>
      <c r="D1571" s="5" t="str">
        <f>"Yeats and the nineties / edited by Warwick Gould.-- Palgrave; c2001.-- (Yeats annual / edited by Richard J. Finneran ; no. 14 ; A special number)."</f>
        <v>Yeats and the nineties / edited by Warwick Gould.-- Palgrave; c2001.-- (Yeats annual / edited by Richard J. Finneran ; no. 14 ; A special number).</v>
      </c>
      <c r="E1571" s="4" t="str">
        <f>""</f>
        <v/>
      </c>
      <c r="F1571" s="26"/>
      <c r="G1571" s="27" t="str">
        <f>"930.28/YE/14"</f>
        <v>930.28/YE/14</v>
      </c>
      <c r="H1571" s="4" t="str">
        <f>"2001/02/23"</f>
        <v>2001/02/23</v>
      </c>
      <c r="I1571" s="6">
        <v>12521</v>
      </c>
      <c r="J1571" s="8">
        <v>500</v>
      </c>
      <c r="K1571" s="4" t="str">
        <f t="shared" si="80"/>
        <v>2  洋書</v>
      </c>
      <c r="L1571" s="7"/>
    </row>
    <row r="1572" spans="1:12" x14ac:dyDescent="0.15">
      <c r="A1572" s="36">
        <v>1571</v>
      </c>
      <c r="B1572" s="3" t="s">
        <v>94</v>
      </c>
      <c r="C1572" s="4" t="str">
        <f>"0001306972"</f>
        <v>0001306972</v>
      </c>
      <c r="D1572" s="5" t="str">
        <f>"アメリカ女性文学論 / 鈴江璋子著.-- 研究社出版; 1995.10."</f>
        <v>アメリカ女性文学論 / 鈴江璋子著.-- 研究社出版; 1995.10.</v>
      </c>
      <c r="E1572" s="4" t="str">
        <f>""</f>
        <v/>
      </c>
      <c r="F1572" s="26"/>
      <c r="G1572" s="27" t="str">
        <f>"930.29/ｽｽﾞ"</f>
        <v>930.29/ｽｽﾞ</v>
      </c>
      <c r="H1572" s="4" t="str">
        <f>"1996/02/24"</f>
        <v>1996/02/24</v>
      </c>
      <c r="I1572" s="6">
        <v>2700</v>
      </c>
      <c r="J1572" s="6">
        <v>100</v>
      </c>
      <c r="K1572" s="4" t="str">
        <f>"1  和書"</f>
        <v>1  和書</v>
      </c>
      <c r="L1572" s="7"/>
    </row>
    <row r="1573" spans="1:12" ht="24" x14ac:dyDescent="0.15">
      <c r="A1573" s="36">
        <v>1572</v>
      </c>
      <c r="B1573" s="3" t="s">
        <v>94</v>
      </c>
      <c r="C1573" s="4" t="str">
        <f>"0000878135"</f>
        <v>0000878135</v>
      </c>
      <c r="D1573" s="5" t="str">
        <f>"アメリカ文学研究資料事典 : アメリカ研究図書解題 / 常松正雄, 田中久男, ハロルド・H.コルブ, Jr.編.-- 南雲堂; 1994.6."</f>
        <v>アメリカ文学研究資料事典 : アメリカ研究図書解題 / 常松正雄, 田中久男, ハロルド・H.コルブ, Jr.編.-- 南雲堂; 1994.6.</v>
      </c>
      <c r="E1573" s="4" t="str">
        <f>""</f>
        <v/>
      </c>
      <c r="F1573" s="26"/>
      <c r="G1573" s="27" t="str">
        <f>"R930.31/ﾂﾈ"</f>
        <v>R930.31/ﾂﾈ</v>
      </c>
      <c r="H1573" s="4" t="str">
        <f>"1995/11/06"</f>
        <v>1995/11/06</v>
      </c>
      <c r="I1573" s="6">
        <v>20000</v>
      </c>
      <c r="J1573" s="8">
        <v>1000</v>
      </c>
      <c r="K1573" s="4" t="str">
        <f t="shared" ref="K1573:K1625" si="81">"1  和書"</f>
        <v>1  和書</v>
      </c>
      <c r="L1573" s="7"/>
    </row>
    <row r="1574" spans="1:12" ht="24" x14ac:dyDescent="0.15">
      <c r="A1574" s="36">
        <v>1573</v>
      </c>
      <c r="B1574" s="3" t="s">
        <v>94</v>
      </c>
      <c r="C1574" s="4" t="str">
        <f>"0001358902"</f>
        <v>0001358902</v>
      </c>
      <c r="D1574" s="5" t="str">
        <f>"アメリカ文学研究資料事典 : アメリカ研究図書解題 / 常松正雄, 田中久男, ハロルド・H.コルブ, Jr.編.-- 南雲堂; 1994.6."</f>
        <v>アメリカ文学研究資料事典 : アメリカ研究図書解題 / 常松正雄, 田中久男, ハロルド・H.コルブ, Jr.編.-- 南雲堂; 1994.6.</v>
      </c>
      <c r="E1574" s="4" t="str">
        <f>""</f>
        <v/>
      </c>
      <c r="F1574" s="26"/>
      <c r="G1574" s="27" t="str">
        <f>"R930.31/ﾂﾈ"</f>
        <v>R930.31/ﾂﾈ</v>
      </c>
      <c r="H1574" s="4" t="str">
        <f>"1997/05/12"</f>
        <v>1997/05/12</v>
      </c>
      <c r="I1574" s="6">
        <v>22937</v>
      </c>
      <c r="J1574" s="8">
        <v>1000</v>
      </c>
      <c r="K1574" s="4" t="str">
        <f t="shared" si="81"/>
        <v>1  和書</v>
      </c>
      <c r="L1574" s="7"/>
    </row>
    <row r="1575" spans="1:12" ht="24" x14ac:dyDescent="0.15">
      <c r="A1575" s="36">
        <v>1574</v>
      </c>
      <c r="B1575" s="3" t="s">
        <v>94</v>
      </c>
      <c r="C1575" s="4" t="str">
        <f>"0002451206"</f>
        <v>0002451206</v>
      </c>
      <c r="D1575" s="5" t="str">
        <f>"イェイツとの対話 / [出淵博著].-- みすず書房; 2000.8.-- (出淵博著作集 / [出淵博著] ; 1)."</f>
        <v>イェイツとの対話 / [出淵博著].-- みすず書房; 2000.8.-- (出淵博著作集 / [出淵博著] ; 1).</v>
      </c>
      <c r="E1575" s="4" t="str">
        <f>""</f>
        <v/>
      </c>
      <c r="F1575" s="26"/>
      <c r="G1575" s="27" t="str">
        <f>"930.4/ｲｽﾞ/1"</f>
        <v>930.4/ｲｽﾞ/1</v>
      </c>
      <c r="H1575" s="4" t="str">
        <f>"2001/05/23"</f>
        <v>2001/05/23</v>
      </c>
      <c r="I1575" s="6">
        <v>7560</v>
      </c>
      <c r="J1575" s="6">
        <v>100</v>
      </c>
      <c r="K1575" s="4" t="str">
        <f t="shared" si="81"/>
        <v>1  和書</v>
      </c>
      <c r="L1575" s="7"/>
    </row>
    <row r="1576" spans="1:12" ht="24" x14ac:dyDescent="0.15">
      <c r="A1576" s="36">
        <v>1575</v>
      </c>
      <c r="B1576" s="3" t="s">
        <v>94</v>
      </c>
      <c r="C1576" s="4" t="str">
        <f>"0001323658"</f>
        <v>0001323658</v>
      </c>
      <c r="D1576" s="5" t="str">
        <f>"終末のヴィジョン : W・B・イェイツとヨーロッパ近代 / 鈴木聡著.-- 柏書房; 1996.4.-- (パルマケイア叢書 ; 6)."</f>
        <v>終末のヴィジョン : W・B・イェイツとヨーロッパ近代 / 鈴木聡著.-- 柏書房; 1996.4.-- (パルマケイア叢書 ; 6).</v>
      </c>
      <c r="E1576" s="4" t="str">
        <f>""</f>
        <v/>
      </c>
      <c r="F1576" s="26"/>
      <c r="G1576" s="27" t="str">
        <f>"931/ｲｴ"</f>
        <v>931/ｲｴ</v>
      </c>
      <c r="H1576" s="4" t="str">
        <f>"1996/06/25"</f>
        <v>1996/06/25</v>
      </c>
      <c r="I1576" s="6">
        <v>3780</v>
      </c>
      <c r="J1576" s="6">
        <v>100</v>
      </c>
      <c r="K1576" s="4" t="str">
        <f t="shared" si="81"/>
        <v>1  和書</v>
      </c>
      <c r="L1576" s="7"/>
    </row>
    <row r="1577" spans="1:12" ht="24" x14ac:dyDescent="0.15">
      <c r="A1577" s="36">
        <v>1576</v>
      </c>
      <c r="B1577" s="3" t="s">
        <v>94</v>
      </c>
      <c r="C1577" s="4" t="str">
        <f>"0001340747"</f>
        <v>0001340747</v>
      </c>
      <c r="D1577" s="5" t="str">
        <f>"イェイツとオリエンタリズム : 解釈学的立場から / 山崎弘行著.-- 近代文藝社; 1996.2."</f>
        <v>イェイツとオリエンタリズム : 解釈学的立場から / 山崎弘行著.-- 近代文藝社; 1996.2.</v>
      </c>
      <c r="E1577" s="4" t="str">
        <f>""</f>
        <v/>
      </c>
      <c r="F1577" s="26"/>
      <c r="G1577" s="27" t="str">
        <f>"931/ｲｴ"</f>
        <v>931/ｲｴ</v>
      </c>
      <c r="H1577" s="4" t="str">
        <f>"1996/12/12"</f>
        <v>1996/12/12</v>
      </c>
      <c r="I1577" s="6">
        <v>6750</v>
      </c>
      <c r="J1577" s="6">
        <v>100</v>
      </c>
      <c r="K1577" s="4" t="str">
        <f t="shared" si="81"/>
        <v>1  和書</v>
      </c>
      <c r="L1577" s="7"/>
    </row>
    <row r="1578" spans="1:12" ht="24" x14ac:dyDescent="0.15">
      <c r="A1578" s="36">
        <v>1577</v>
      </c>
      <c r="B1578" s="3" t="s">
        <v>94</v>
      </c>
      <c r="C1578" s="4" t="str">
        <f>"0001358438"</f>
        <v>0001358438</v>
      </c>
      <c r="D1578" s="5" t="str">
        <f>"W.B.イェイツ論 : 仮面の変貌 / 増谷外世嗣編著.-- 増補版.-- 南雲堂; 1993.6."</f>
        <v>W.B.イェイツ論 : 仮面の変貌 / 増谷外世嗣編著.-- 増補版.-- 南雲堂; 1993.6.</v>
      </c>
      <c r="E1578" s="4" t="str">
        <f>""</f>
        <v/>
      </c>
      <c r="F1578" s="26"/>
      <c r="G1578" s="27" t="str">
        <f>"931/ｲｴ"</f>
        <v>931/ｲｴ</v>
      </c>
      <c r="H1578" s="4" t="str">
        <f>"1997/05/09"</f>
        <v>1997/05/09</v>
      </c>
      <c r="I1578" s="6">
        <v>3853</v>
      </c>
      <c r="J1578" s="6">
        <v>100</v>
      </c>
      <c r="K1578" s="4" t="str">
        <f t="shared" si="81"/>
        <v>1  和書</v>
      </c>
      <c r="L1578" s="7"/>
    </row>
    <row r="1579" spans="1:12" ht="24" x14ac:dyDescent="0.15">
      <c r="A1579" s="36">
        <v>1578</v>
      </c>
      <c r="B1579" s="3" t="s">
        <v>94</v>
      </c>
      <c r="C1579" s="4" t="str">
        <f>"0001402247"</f>
        <v>0001402247</v>
      </c>
      <c r="D1579" s="5" t="str">
        <f>"エリオット / 平井正穂編.-- 研究社出版; 1967.1.-- (20世紀英米文学案内 ; 18)."</f>
        <v>エリオット / 平井正穂編.-- 研究社出版; 1967.1.-- (20世紀英米文学案内 ; 18).</v>
      </c>
      <c r="E1579" s="4" t="str">
        <f>""</f>
        <v/>
      </c>
      <c r="F1579" s="26"/>
      <c r="G1579" s="27" t="str">
        <f>"931/ｴﾘ"</f>
        <v>931/ｴﾘ</v>
      </c>
      <c r="H1579" s="4" t="str">
        <f>"1997/03/31"</f>
        <v>1997/03/31</v>
      </c>
      <c r="I1579" s="6">
        <v>2439</v>
      </c>
      <c r="J1579" s="6">
        <v>100</v>
      </c>
      <c r="K1579" s="4" t="str">
        <f t="shared" si="81"/>
        <v>1  和書</v>
      </c>
      <c r="L1579" s="7"/>
    </row>
    <row r="1580" spans="1:12" ht="24" x14ac:dyDescent="0.15">
      <c r="A1580" s="36">
        <v>1579</v>
      </c>
      <c r="B1580" s="3" t="s">
        <v>94</v>
      </c>
      <c r="C1580" s="4" t="str">
        <f>"0000066877"</f>
        <v>0000066877</v>
      </c>
      <c r="D1580" s="5" t="str">
        <f>"シェリーと英詩の傳統 : 「燃える泉」のこころ / 鈴木弘著.-- 増補改訂版.-- 北星堂書店; 1975.8."</f>
        <v>シェリーと英詩の傳統 : 「燃える泉」のこころ / 鈴木弘著.-- 増補改訂版.-- 北星堂書店; 1975.8.</v>
      </c>
      <c r="E1580" s="4" t="str">
        <f>""</f>
        <v/>
      </c>
      <c r="F1580" s="26"/>
      <c r="G1580" s="27" t="str">
        <f>"931/ｼｴ"</f>
        <v>931/ｼｴ</v>
      </c>
      <c r="H1580" s="4" t="str">
        <f>"1994/03/31"</f>
        <v>1994/03/31</v>
      </c>
      <c r="I1580" s="6">
        <v>2560</v>
      </c>
      <c r="J1580" s="6">
        <v>100</v>
      </c>
      <c r="K1580" s="4" t="str">
        <f t="shared" si="81"/>
        <v>1  和書</v>
      </c>
      <c r="L1580" s="7"/>
    </row>
    <row r="1581" spans="1:12" ht="24" x14ac:dyDescent="0.15">
      <c r="A1581" s="36">
        <v>1580</v>
      </c>
      <c r="B1581" s="3" t="s">
        <v>94</v>
      </c>
      <c r="C1581" s="4" t="str">
        <f>"0000571470"</f>
        <v>0000571470</v>
      </c>
      <c r="D1581" s="5" t="str">
        <f>"ディキンスンの詩法の研究 : 重層構造を読む / 古川隆夫著.-- 研究社出版; 1992.3."</f>
        <v>ディキンスンの詩法の研究 : 重層構造を読む / 古川隆夫著.-- 研究社出版; 1992.3.</v>
      </c>
      <c r="E1581" s="4" t="str">
        <f>""</f>
        <v/>
      </c>
      <c r="F1581" s="26"/>
      <c r="G1581" s="27" t="str">
        <f>"931/ﾃﾞｲ"</f>
        <v>931/ﾃﾞｲ</v>
      </c>
      <c r="H1581" s="4" t="str">
        <f>"1995/03/31"</f>
        <v>1995/03/31</v>
      </c>
      <c r="I1581" s="6">
        <v>4471</v>
      </c>
      <c r="J1581" s="6">
        <v>100</v>
      </c>
      <c r="K1581" s="4" t="str">
        <f t="shared" si="81"/>
        <v>1  和書</v>
      </c>
      <c r="L1581" s="7"/>
    </row>
    <row r="1582" spans="1:12" ht="24" x14ac:dyDescent="0.15">
      <c r="A1582" s="36">
        <v>1581</v>
      </c>
      <c r="B1582" s="3" t="s">
        <v>94</v>
      </c>
      <c r="C1582" s="4" t="str">
        <f>"0001353709"</f>
        <v>0001353709</v>
      </c>
      <c r="D1582" s="5" t="str">
        <f>"ディキンスンの詩法の研究 : 重層構造を読む / 古川隆夫著.-- 研究社出版; 1992.3."</f>
        <v>ディキンスンの詩法の研究 : 重層構造を読む / 古川隆夫著.-- 研究社出版; 1992.3.</v>
      </c>
      <c r="E1582" s="4" t="str">
        <f>""</f>
        <v/>
      </c>
      <c r="F1582" s="26"/>
      <c r="G1582" s="27" t="str">
        <f>"931/ﾃﾞｲ"</f>
        <v>931/ﾃﾞｲ</v>
      </c>
      <c r="H1582" s="4" t="str">
        <f>"1997/02/06"</f>
        <v>1997/02/06</v>
      </c>
      <c r="I1582" s="6">
        <v>4950</v>
      </c>
      <c r="J1582" s="6">
        <v>100</v>
      </c>
      <c r="K1582" s="4" t="str">
        <f t="shared" si="81"/>
        <v>1  和書</v>
      </c>
      <c r="L1582" s="7"/>
    </row>
    <row r="1583" spans="1:12" ht="24" x14ac:dyDescent="0.15">
      <c r="A1583" s="36">
        <v>1582</v>
      </c>
      <c r="B1583" s="3" t="s">
        <v>94</v>
      </c>
      <c r="C1583" s="10" t="str">
        <f>"0000585446"</f>
        <v>0000585446</v>
      </c>
      <c r="D1583" s="11" t="str">
        <f>"ディキンスン詩集 / ディキンスン [著] ; 新倉俊一訳編.-- 思潮社; 1993.6.-- (海外詩文庫 ; 2)."</f>
        <v>ディキンスン詩集 / ディキンスン [著] ; 新倉俊一訳編.-- 思潮社; 1993.6.-- (海外詩文庫 ; 2).</v>
      </c>
      <c r="E1583" s="10" t="str">
        <f>""</f>
        <v/>
      </c>
      <c r="F1583" s="28" t="s">
        <v>8</v>
      </c>
      <c r="G1583" s="29" t="str">
        <f>"931/ﾃﾞｲ"</f>
        <v>931/ﾃﾞｲ</v>
      </c>
      <c r="H1583" s="10" t="str">
        <f>"1995/03/31"</f>
        <v>1995/03/31</v>
      </c>
      <c r="I1583" s="12">
        <v>975</v>
      </c>
      <c r="J1583" s="12">
        <v>100</v>
      </c>
      <c r="K1583" s="10" t="str">
        <f t="shared" si="81"/>
        <v>1  和書</v>
      </c>
      <c r="L1583" s="13"/>
    </row>
    <row r="1584" spans="1:12" ht="24" x14ac:dyDescent="0.15">
      <c r="A1584" s="36">
        <v>1583</v>
      </c>
      <c r="B1584" s="3" t="s">
        <v>94</v>
      </c>
      <c r="C1584" s="4" t="str">
        <f>"0002196244"</f>
        <v>0002196244</v>
      </c>
      <c r="D1584" s="5" t="str">
        <f>"暗い山と栄光の山 : 無限性の美学の展開 / M・H・ニコルソン著 ; 小黒和子訳.-- 国書刊行会; 1989.11.-- (クラテール叢書 ; 13)."</f>
        <v>暗い山と栄光の山 : 無限性の美学の展開 / M・H・ニコルソン著 ; 小黒和子訳.-- 国書刊行会; 1989.11.-- (クラテール叢書 ; 13).</v>
      </c>
      <c r="E1584" s="4" t="str">
        <f>""</f>
        <v/>
      </c>
      <c r="F1584" s="26"/>
      <c r="G1584" s="27" t="str">
        <f>"931/ﾆｺ"</f>
        <v>931/ﾆｺ</v>
      </c>
      <c r="H1584" s="4" t="str">
        <f>"2001/04/16"</f>
        <v>2001/04/16</v>
      </c>
      <c r="I1584" s="6">
        <v>3577</v>
      </c>
      <c r="J1584" s="6">
        <v>100</v>
      </c>
      <c r="K1584" s="4" t="str">
        <f t="shared" si="81"/>
        <v>1  和書</v>
      </c>
      <c r="L1584" s="7"/>
    </row>
    <row r="1585" spans="1:12" x14ac:dyDescent="0.15">
      <c r="A1585" s="36">
        <v>1584</v>
      </c>
      <c r="B1585" s="3" t="s">
        <v>94</v>
      </c>
      <c r="C1585" s="4" t="str">
        <f>"0001350388"</f>
        <v>0001350388</v>
      </c>
      <c r="D1585" s="5" t="str">
        <f>"イギリス・ルネサンス詩研究 / 藤井治彦著.-- 英宝社; 1996.6."</f>
        <v>イギリス・ルネサンス詩研究 / 藤井治彦著.-- 英宝社; 1996.6.</v>
      </c>
      <c r="E1585" s="4" t="str">
        <f>""</f>
        <v/>
      </c>
      <c r="F1585" s="26"/>
      <c r="G1585" s="27" t="str">
        <f>"931/ﾌｼﾞ"</f>
        <v>931/ﾌｼﾞ</v>
      </c>
      <c r="H1585" s="4" t="str">
        <f>"1997/03/03"</f>
        <v>1997/03/03</v>
      </c>
      <c r="I1585" s="6">
        <v>4171</v>
      </c>
      <c r="J1585" s="6">
        <v>100</v>
      </c>
      <c r="K1585" s="4" t="str">
        <f t="shared" si="81"/>
        <v>1  和書</v>
      </c>
      <c r="L1585" s="7"/>
    </row>
    <row r="1586" spans="1:12" ht="24" x14ac:dyDescent="0.15">
      <c r="A1586" s="36">
        <v>1585</v>
      </c>
      <c r="B1586" s="3" t="s">
        <v>94</v>
      </c>
      <c r="C1586" s="4" t="str">
        <f>"0000563574"</f>
        <v>0000563574</v>
      </c>
      <c r="D1586" s="5" t="str">
        <f>"キーツとロマン派の伝統 : 美の象形文字とその幻想性 / 水之江有一著.-- 北星堂書店; 1979.11."</f>
        <v>キーツとロマン派の伝統 : 美の象形文字とその幻想性 / 水之江有一著.-- 北星堂書店; 1979.11.</v>
      </c>
      <c r="E1586" s="4" t="str">
        <f>""</f>
        <v/>
      </c>
      <c r="F1586" s="26"/>
      <c r="G1586" s="27" t="str">
        <f>"931/ﾐｽﾞ"</f>
        <v>931/ﾐｽﾞ</v>
      </c>
      <c r="H1586" s="4" t="str">
        <f>"1995/03/31"</f>
        <v>1995/03/31</v>
      </c>
      <c r="I1586" s="6">
        <v>3349</v>
      </c>
      <c r="J1586" s="6">
        <v>100</v>
      </c>
      <c r="K1586" s="4" t="str">
        <f t="shared" si="81"/>
        <v>1  和書</v>
      </c>
      <c r="L1586" s="7"/>
    </row>
    <row r="1587" spans="1:12" ht="24" x14ac:dyDescent="0.15">
      <c r="A1587" s="36">
        <v>1586</v>
      </c>
      <c r="B1587" s="3" t="s">
        <v>94</v>
      </c>
      <c r="C1587" s="4" t="str">
        <f>"0001828405"</f>
        <v>0001828405</v>
      </c>
      <c r="D1587" s="5" t="str">
        <f>"英詩の文体論批評 : イェイツ、ラーキンを中心に / 宮内弘著.-- 京都大学学術出版会; 1998.1."</f>
        <v>英詩の文体論批評 : イェイツ、ラーキンを中心に / 宮内弘著.-- 京都大学学術出版会; 1998.1.</v>
      </c>
      <c r="E1587" s="4" t="str">
        <f>""</f>
        <v/>
      </c>
      <c r="F1587" s="26"/>
      <c r="G1587" s="27" t="str">
        <f>"931/ﾐﾔ"</f>
        <v>931/ﾐﾔ</v>
      </c>
      <c r="H1587" s="4" t="str">
        <f>"1998/05/21"</f>
        <v>1998/05/21</v>
      </c>
      <c r="I1587" s="6">
        <v>3302</v>
      </c>
      <c r="J1587" s="6">
        <v>100</v>
      </c>
      <c r="K1587" s="4" t="str">
        <f t="shared" si="81"/>
        <v>1  和書</v>
      </c>
      <c r="L1587" s="7"/>
    </row>
    <row r="1588" spans="1:12" ht="24" x14ac:dyDescent="0.15">
      <c r="A1588" s="36">
        <v>1587</v>
      </c>
      <c r="B1588" s="3" t="s">
        <v>94</v>
      </c>
      <c r="C1588" s="4" t="str">
        <f>"0000204606"</f>
        <v>0000204606</v>
      </c>
      <c r="D1588" s="5" t="str">
        <f>"ワーズワス・序曲 : 詩人の魂の成長 / ワーズワス [著] ; 岡三郎訳 ; : 新装版.-- 国文社; 1980.5."</f>
        <v>ワーズワス・序曲 : 詩人の魂の成長 / ワーズワス [著] ; 岡三郎訳 ; : 新装版.-- 国文社; 1980.5.</v>
      </c>
      <c r="E1588" s="4" t="str">
        <f>": 新装版"</f>
        <v>: 新装版</v>
      </c>
      <c r="F1588" s="26"/>
      <c r="G1588" s="27" t="str">
        <f>"931/ﾜｽﾞ"</f>
        <v>931/ﾜｽﾞ</v>
      </c>
      <c r="H1588" s="4" t="str">
        <f>"1994/03/31"</f>
        <v>1994/03/31</v>
      </c>
      <c r="I1588" s="6">
        <v>3404</v>
      </c>
      <c r="J1588" s="6">
        <v>100</v>
      </c>
      <c r="K1588" s="4" t="str">
        <f t="shared" si="81"/>
        <v>1  和書</v>
      </c>
      <c r="L1588" s="7"/>
    </row>
    <row r="1589" spans="1:12" ht="24" x14ac:dyDescent="0.15">
      <c r="A1589" s="36">
        <v>1588</v>
      </c>
      <c r="B1589" s="3" t="s">
        <v>94</v>
      </c>
      <c r="C1589" s="4" t="str">
        <f>"0001321999"</f>
        <v>0001321999</v>
      </c>
      <c r="D1589" s="5" t="str">
        <f>"ワーズワス・序曲 : 詩人の魂の成長 / ワーズワス [著] ; 岡三郎訳 ; : 新装版.-- 国文社; 1980.5."</f>
        <v>ワーズワス・序曲 : 詩人の魂の成長 / ワーズワス [著] ; 岡三郎訳 ; : 新装版.-- 国文社; 1980.5.</v>
      </c>
      <c r="E1589" s="4" t="str">
        <f>": 新装版"</f>
        <v>: 新装版</v>
      </c>
      <c r="F1589" s="26"/>
      <c r="G1589" s="27" t="str">
        <f>"931/ﾜｽﾞ"</f>
        <v>931/ﾜｽﾞ</v>
      </c>
      <c r="H1589" s="4" t="str">
        <f>"1996/06/14"</f>
        <v>1996/06/14</v>
      </c>
      <c r="I1589" s="6">
        <v>3708</v>
      </c>
      <c r="J1589" s="6">
        <v>100</v>
      </c>
      <c r="K1589" s="4" t="str">
        <f t="shared" si="81"/>
        <v>1  和書</v>
      </c>
      <c r="L1589" s="7"/>
    </row>
    <row r="1590" spans="1:12" ht="24" x14ac:dyDescent="0.15">
      <c r="A1590" s="36">
        <v>1589</v>
      </c>
      <c r="B1590" s="3" t="s">
        <v>94</v>
      </c>
      <c r="C1590" s="4" t="str">
        <f>"0000874670"</f>
        <v>0000874670</v>
      </c>
      <c r="D1590" s="5" t="str">
        <f>"The redress of poetry : Oxford lectures / Seamus Heaney.-- Faber and Faber; 1995."</f>
        <v>The redress of poetry : Oxford lectures / Seamus Heaney.-- Faber and Faber; 1995.</v>
      </c>
      <c r="E1590" s="4" t="str">
        <f>""</f>
        <v/>
      </c>
      <c r="F1590" s="26"/>
      <c r="G1590" s="27" t="str">
        <f>"931/HE"</f>
        <v>931/HE</v>
      </c>
      <c r="H1590" s="4" t="str">
        <f>"1995/10/09"</f>
        <v>1995/10/09</v>
      </c>
      <c r="I1590" s="6">
        <v>3600</v>
      </c>
      <c r="J1590" s="6">
        <v>100</v>
      </c>
      <c r="K1590" s="4" t="str">
        <f>"2  洋書"</f>
        <v>2  洋書</v>
      </c>
      <c r="L1590" s="7"/>
    </row>
    <row r="1591" spans="1:12" ht="24" x14ac:dyDescent="0.15">
      <c r="A1591" s="36">
        <v>1590</v>
      </c>
      <c r="B1591" s="3" t="s">
        <v>94</v>
      </c>
      <c r="C1591" s="4" t="str">
        <f>"0001353228"</f>
        <v>0001353228</v>
      </c>
      <c r="D1591" s="5" t="str">
        <f>"The apprentice mage, 1865-1914 / R.F. Foster.-- Oxford University Press; 1997.-- (W.B. Yeats : a life / R.F. Foster ; 1)."</f>
        <v>The apprentice mage, 1865-1914 / R.F. Foster.-- Oxford University Press; 1997.-- (W.B. Yeats : a life / R.F. Foster ; 1).</v>
      </c>
      <c r="E1591" s="4" t="str">
        <f>""</f>
        <v/>
      </c>
      <c r="F1591" s="26"/>
      <c r="G1591" s="27" t="str">
        <f>"931/YE"</f>
        <v>931/YE</v>
      </c>
      <c r="H1591" s="4" t="str">
        <f>"1997/03/10"</f>
        <v>1997/03/10</v>
      </c>
      <c r="I1591" s="6">
        <v>6906</v>
      </c>
      <c r="J1591" s="6">
        <v>100</v>
      </c>
      <c r="K1591" s="4" t="str">
        <f>"2  洋書"</f>
        <v>2  洋書</v>
      </c>
      <c r="L1591" s="7"/>
    </row>
    <row r="1592" spans="1:12" ht="24" x14ac:dyDescent="0.15">
      <c r="A1592" s="36">
        <v>1591</v>
      </c>
      <c r="B1592" s="3" t="s">
        <v>94</v>
      </c>
      <c r="C1592" s="4" t="str">
        <f>"0002471693"</f>
        <v>0002471693</v>
      </c>
      <c r="D1592" s="5" t="str">
        <f>"シェイクスピア劇の名台詞 / P.ミルワード著 ; 安西徹雄訳.-- 講談社; 1986.7.-- (講談社学術文庫 ; [747])."</f>
        <v>シェイクスピア劇の名台詞 / P.ミルワード著 ; 安西徹雄訳.-- 講談社; 1986.7.-- (講談社学術文庫 ; [747]).</v>
      </c>
      <c r="E1592" s="4" t="str">
        <f>""</f>
        <v/>
      </c>
      <c r="F1592" s="26"/>
      <c r="G1592" s="27" t="str">
        <f>"932/ｼｴ"</f>
        <v>932/ｼｴ</v>
      </c>
      <c r="H1592" s="4" t="str">
        <f>"2001/12/04"</f>
        <v>2001/12/04</v>
      </c>
      <c r="I1592" s="6">
        <v>945</v>
      </c>
      <c r="J1592" s="6">
        <v>100</v>
      </c>
      <c r="K1592" s="4" t="str">
        <f t="shared" si="81"/>
        <v>1  和書</v>
      </c>
      <c r="L1592" s="7"/>
    </row>
    <row r="1593" spans="1:12" ht="24" x14ac:dyDescent="0.15">
      <c r="A1593" s="36">
        <v>1592</v>
      </c>
      <c r="B1593" s="3" t="s">
        <v>94</v>
      </c>
      <c r="C1593" s="4" t="str">
        <f>"0000504485"</f>
        <v>0000504485</v>
      </c>
      <c r="D1593" s="5" t="str">
        <f>"牧師館物語 / ジョージ・エリオット著 ; 工藤好美, 淀川郁子訳.-- 文泉堂出版; 1994.8.-- (ジョージ・エリオット著作集 ; 1)."</f>
        <v>牧師館物語 / ジョージ・エリオット著 ; 工藤好美, 淀川郁子訳.-- 文泉堂出版; 1994.8.-- (ジョージ・エリオット著作集 ; 1).</v>
      </c>
      <c r="E1593" s="4" t="str">
        <f>""</f>
        <v/>
      </c>
      <c r="F1593" s="26"/>
      <c r="G1593" s="27" t="str">
        <f>"933/ｴﾘ/1"</f>
        <v>933/ｴﾘ/1</v>
      </c>
      <c r="H1593" s="4" t="str">
        <f>"1994/11/17"</f>
        <v>1994/11/17</v>
      </c>
      <c r="I1593" s="6">
        <v>13500</v>
      </c>
      <c r="J1593" s="8">
        <v>500</v>
      </c>
      <c r="K1593" s="4" t="str">
        <f t="shared" si="81"/>
        <v>1  和書</v>
      </c>
      <c r="L1593" s="7"/>
    </row>
    <row r="1594" spans="1:12" ht="24" x14ac:dyDescent="0.15">
      <c r="A1594" s="36">
        <v>1593</v>
      </c>
      <c r="B1594" s="3" t="s">
        <v>94</v>
      </c>
      <c r="C1594" s="4" t="str">
        <f>"0000504515"</f>
        <v>0000504515</v>
      </c>
      <c r="D1594" s="5" t="str">
        <f>"ロモラ / ジョージ・エリオット著 ; 工藤昭雄訳.-- 文泉堂出版; 1994.8.-- (ジョージ・エリオット著作集 ; 3)."</f>
        <v>ロモラ / ジョージ・エリオット著 ; 工藤昭雄訳.-- 文泉堂出版; 1994.8.-- (ジョージ・エリオット著作集 ; 3).</v>
      </c>
      <c r="E1594" s="4" t="str">
        <f>""</f>
        <v/>
      </c>
      <c r="F1594" s="26"/>
      <c r="G1594" s="27" t="str">
        <f>"933/ｴﾘ/3"</f>
        <v>933/ｴﾘ/3</v>
      </c>
      <c r="H1594" s="4" t="str">
        <f>"1994/11/17"</f>
        <v>1994/11/17</v>
      </c>
      <c r="I1594" s="6">
        <v>13500</v>
      </c>
      <c r="J1594" s="8">
        <v>500</v>
      </c>
      <c r="K1594" s="4" t="str">
        <f t="shared" si="81"/>
        <v>1  和書</v>
      </c>
      <c r="L1594" s="7"/>
    </row>
    <row r="1595" spans="1:12" ht="24" x14ac:dyDescent="0.15">
      <c r="A1595" s="36">
        <v>1594</v>
      </c>
      <c r="B1595" s="3" t="s">
        <v>94</v>
      </c>
      <c r="C1595" s="4" t="str">
        <f>"0000575980"</f>
        <v>0000575980</v>
      </c>
      <c r="D1595" s="5" t="str">
        <f>"デボラの世界 : 分裂病の少女 / ハナ・グリーン [著] ; 佐伯わか子, 笠原嘉共訳.-- みすず書房; 1971.10."</f>
        <v>デボラの世界 : 分裂病の少女 / ハナ・グリーン [著] ; 佐伯わか子, 笠原嘉共訳.-- みすず書房; 1971.10.</v>
      </c>
      <c r="E1595" s="4" t="str">
        <f>""</f>
        <v/>
      </c>
      <c r="F1595" s="26"/>
      <c r="G1595" s="27" t="str">
        <f>"933/ｸﾞﾘ"</f>
        <v>933/ｸﾞﾘ</v>
      </c>
      <c r="H1595" s="4" t="str">
        <f>"1995/03/31"</f>
        <v>1995/03/31</v>
      </c>
      <c r="I1595" s="6">
        <v>2344</v>
      </c>
      <c r="J1595" s="6">
        <v>100</v>
      </c>
      <c r="K1595" s="4" t="str">
        <f t="shared" si="81"/>
        <v>1  和書</v>
      </c>
      <c r="L1595" s="7"/>
    </row>
    <row r="1596" spans="1:12" ht="24" x14ac:dyDescent="0.15">
      <c r="A1596" s="36">
        <v>1595</v>
      </c>
      <c r="B1596" s="3" t="s">
        <v>94</v>
      </c>
      <c r="C1596" s="4" t="str">
        <f>"0002080888"</f>
        <v>0002080888</v>
      </c>
      <c r="D1596" s="5" t="str">
        <f>"可視の闇 / ウィリアム・ゴールディング [著] ; 吉田徹夫, 宮原一成監訳 ; 福岡現代英国小説談話会 [訳].-- 開文社出版; 2000.6."</f>
        <v>可視の闇 / ウィリアム・ゴールディング [著] ; 吉田徹夫, 宮原一成監訳 ; 福岡現代英国小説談話会 [訳].-- 開文社出版; 2000.6.</v>
      </c>
      <c r="E1596" s="4" t="str">
        <f>""</f>
        <v/>
      </c>
      <c r="F1596" s="26"/>
      <c r="G1596" s="27" t="str">
        <f>"933/ｺﾞﾙ"</f>
        <v>933/ｺﾞﾙ</v>
      </c>
      <c r="H1596" s="4" t="str">
        <f>"2000/08/16"</f>
        <v>2000/08/16</v>
      </c>
      <c r="I1596" s="6">
        <v>2111</v>
      </c>
      <c r="J1596" s="6">
        <v>100</v>
      </c>
      <c r="K1596" s="4" t="str">
        <f t="shared" si="81"/>
        <v>1  和書</v>
      </c>
      <c r="L1596" s="7"/>
    </row>
    <row r="1597" spans="1:12" ht="24" x14ac:dyDescent="0.15">
      <c r="A1597" s="36">
        <v>1596</v>
      </c>
      <c r="B1597" s="3" t="s">
        <v>94</v>
      </c>
      <c r="C1597" s="4" t="str">
        <f>"0002464503"</f>
        <v>0002464503</v>
      </c>
      <c r="D1597" s="5" t="str">
        <f>"若い芸術家の肖像 / ジョイス [著] ; 丸谷才一訳.-- 新潮社; 1994.2.-- (新潮文庫 ; シ-3-2)."</f>
        <v>若い芸術家の肖像 / ジョイス [著] ; 丸谷才一訳.-- 新潮社; 1994.2.-- (新潮文庫 ; シ-3-2).</v>
      </c>
      <c r="E1597" s="4" t="str">
        <f>""</f>
        <v/>
      </c>
      <c r="F1597" s="26"/>
      <c r="G1597" s="27" t="str">
        <f>"933/ｼﾞﾖ"</f>
        <v>933/ｼﾞﾖ</v>
      </c>
      <c r="H1597" s="4" t="str">
        <f>"2001/10/23"</f>
        <v>2001/10/23</v>
      </c>
      <c r="I1597" s="6">
        <v>558</v>
      </c>
      <c r="J1597" s="6">
        <v>100</v>
      </c>
      <c r="K1597" s="4" t="str">
        <f t="shared" si="81"/>
        <v>1  和書</v>
      </c>
      <c r="L1597" s="7"/>
    </row>
    <row r="1598" spans="1:12" ht="24" x14ac:dyDescent="0.15">
      <c r="A1598" s="36">
        <v>1597</v>
      </c>
      <c r="B1598" s="3" t="s">
        <v>94</v>
      </c>
      <c r="C1598" s="10" t="str">
        <f>"0002948263"</f>
        <v>0002948263</v>
      </c>
      <c r="D1598" s="11" t="str">
        <f>"舞踏会へ向かう三人の農夫 / リチャード・パワーズ [著] ; 柴田元幸訳.-- みすず書房; 2000.4."</f>
        <v>舞踏会へ向かう三人の農夫 / リチャード・パワーズ [著] ; 柴田元幸訳.-- みすず書房; 2000.4.</v>
      </c>
      <c r="E1598" s="10" t="str">
        <f>""</f>
        <v/>
      </c>
      <c r="F1598" s="28" t="s">
        <v>8</v>
      </c>
      <c r="G1598" s="29" t="str">
        <f>"933/ﾊﾟﾜ"</f>
        <v>933/ﾊﾟﾜ</v>
      </c>
      <c r="H1598" s="10" t="str">
        <f>"2009/11/05"</f>
        <v>2009/11/05</v>
      </c>
      <c r="I1598" s="12">
        <v>3213</v>
      </c>
      <c r="J1598" s="12">
        <v>100</v>
      </c>
      <c r="K1598" s="10" t="str">
        <f t="shared" si="81"/>
        <v>1  和書</v>
      </c>
      <c r="L1598" s="13"/>
    </row>
    <row r="1599" spans="1:12" ht="24" x14ac:dyDescent="0.15">
      <c r="A1599" s="36">
        <v>1598</v>
      </c>
      <c r="B1599" s="3" t="s">
        <v>94</v>
      </c>
      <c r="C1599" s="4" t="str">
        <f>"0001553031"</f>
        <v>0001553031</v>
      </c>
      <c r="D1599" s="5" t="str">
        <f>"ナサニエル・ホーソーン短編全集 / [ナサニエル・ホーソーン著] ; 國重純二訳 ; 1, 2, 3.-- 南雲堂; 1994.10-2015.10."</f>
        <v>ナサニエル・ホーソーン短編全集 / [ナサニエル・ホーソーン著] ; 國重純二訳 ; 1, 2, 3.-- 南雲堂; 1994.10-2015.10.</v>
      </c>
      <c r="E1599" s="4" t="str">
        <f>"1"</f>
        <v>1</v>
      </c>
      <c r="F1599" s="26"/>
      <c r="G1599" s="27" t="str">
        <f>"933/ﾎｿ/1"</f>
        <v>933/ﾎｿ/1</v>
      </c>
      <c r="H1599" s="4" t="str">
        <f>"1998/01/16"</f>
        <v>1998/01/16</v>
      </c>
      <c r="I1599" s="6">
        <v>8481</v>
      </c>
      <c r="J1599" s="6">
        <v>100</v>
      </c>
      <c r="K1599" s="4" t="str">
        <f t="shared" si="81"/>
        <v>1  和書</v>
      </c>
      <c r="L1599" s="7"/>
    </row>
    <row r="1600" spans="1:12" ht="24" x14ac:dyDescent="0.15">
      <c r="A1600" s="36">
        <v>1599</v>
      </c>
      <c r="B1600" s="3" t="s">
        <v>94</v>
      </c>
      <c r="C1600" s="4" t="str">
        <f>"0000966788"</f>
        <v>0000966788</v>
      </c>
      <c r="D1600" s="5" t="str">
        <f>"ドン・キホーテのごとく : セルバンテス自叙伝 / スティーヴン・マーロウ著 ; 増田義郎訳 ; 上, 下.-- 文藝春秋; 1996.6."</f>
        <v>ドン・キホーテのごとく : セルバンテス自叙伝 / スティーヴン・マーロウ著 ; 増田義郎訳 ; 上, 下.-- 文藝春秋; 1996.6.</v>
      </c>
      <c r="E1600" s="4" t="str">
        <f>"上"</f>
        <v>上</v>
      </c>
      <c r="F1600" s="26"/>
      <c r="G1600" s="27" t="str">
        <f>"933/ﾏﾛ/1"</f>
        <v>933/ﾏﾛ/1</v>
      </c>
      <c r="H1600" s="4" t="str">
        <f>"1996/09/20"</f>
        <v>1996/09/20</v>
      </c>
      <c r="I1600" s="6">
        <v>2320</v>
      </c>
      <c r="J1600" s="6">
        <v>100</v>
      </c>
      <c r="K1600" s="4" t="str">
        <f t="shared" si="81"/>
        <v>1  和書</v>
      </c>
      <c r="L1600" s="7"/>
    </row>
    <row r="1601" spans="1:12" ht="24" x14ac:dyDescent="0.15">
      <c r="A1601" s="36">
        <v>1600</v>
      </c>
      <c r="B1601" s="3" t="s">
        <v>94</v>
      </c>
      <c r="C1601" s="4" t="str">
        <f>"0000966801"</f>
        <v>0000966801</v>
      </c>
      <c r="D1601" s="5" t="str">
        <f>"ドン・キホーテのごとく : セルバンテス自叙伝 / スティーヴン・マーロウ著 ; 増田義郎訳 ; 上, 下.-- 文藝春秋; 1996.6."</f>
        <v>ドン・キホーテのごとく : セルバンテス自叙伝 / スティーヴン・マーロウ著 ; 増田義郎訳 ; 上, 下.-- 文藝春秋; 1996.6.</v>
      </c>
      <c r="E1601" s="4" t="str">
        <f>"下"</f>
        <v>下</v>
      </c>
      <c r="F1601" s="26"/>
      <c r="G1601" s="27" t="str">
        <f>"933/ﾏﾛ/2"</f>
        <v>933/ﾏﾛ/2</v>
      </c>
      <c r="H1601" s="4" t="str">
        <f>"1996/09/20"</f>
        <v>1996/09/20</v>
      </c>
      <c r="I1601" s="6">
        <v>2400</v>
      </c>
      <c r="J1601" s="6">
        <v>100</v>
      </c>
      <c r="K1601" s="4" t="str">
        <f t="shared" si="81"/>
        <v>1  和書</v>
      </c>
      <c r="L1601" s="7"/>
    </row>
    <row r="1602" spans="1:12" ht="24" x14ac:dyDescent="0.15">
      <c r="A1602" s="36">
        <v>1601</v>
      </c>
      <c r="B1602" s="3" t="s">
        <v>94</v>
      </c>
      <c r="C1602" s="4" t="str">
        <f>"0002252995"</f>
        <v>0002252995</v>
      </c>
      <c r="D1602" s="5" t="str">
        <f>"ヴァーチャル・ゲーム / マイケル・リドパス著 ; 玉木亨訳.-- 日本放送出版協会; 1997.4."</f>
        <v>ヴァーチャル・ゲーム / マイケル・リドパス著 ; 玉木亨訳.-- 日本放送出版協会; 1997.4.</v>
      </c>
      <c r="E1602" s="4" t="str">
        <f>""</f>
        <v/>
      </c>
      <c r="F1602" s="26"/>
      <c r="G1602" s="27" t="str">
        <f>"933/ﾘﾄﾞ"</f>
        <v>933/ﾘﾄﾞ</v>
      </c>
      <c r="H1602" s="4" t="str">
        <f>"1999/10/14"</f>
        <v>1999/10/14</v>
      </c>
      <c r="I1602" s="6">
        <v>2079</v>
      </c>
      <c r="J1602" s="6">
        <v>100</v>
      </c>
      <c r="K1602" s="4" t="str">
        <f t="shared" si="81"/>
        <v>1  和書</v>
      </c>
      <c r="L1602" s="7"/>
    </row>
    <row r="1603" spans="1:12" x14ac:dyDescent="0.15">
      <c r="A1603" s="36">
        <v>1602</v>
      </c>
      <c r="B1603" s="3" t="s">
        <v>94</v>
      </c>
      <c r="C1603" s="4" t="str">
        <f>"0001844399"</f>
        <v>0001844399</v>
      </c>
      <c r="D1603" s="5" t="str">
        <f>"ヴィジョン / ウィリアム・B.イェイツ著 ; 鈴木弘訳.-- 北星堂書店; 1978.11."</f>
        <v>ヴィジョン / ウィリアム・B.イェイツ著 ; 鈴木弘訳.-- 北星堂書店; 1978.11.</v>
      </c>
      <c r="E1603" s="4" t="str">
        <f>""</f>
        <v/>
      </c>
      <c r="F1603" s="26"/>
      <c r="G1603" s="27" t="str">
        <f>"934/ｲｴ"</f>
        <v>934/ｲｴ</v>
      </c>
      <c r="H1603" s="4" t="str">
        <f>"1998/10/27"</f>
        <v>1998/10/27</v>
      </c>
      <c r="I1603" s="6">
        <v>2569</v>
      </c>
      <c r="J1603" s="6">
        <v>100</v>
      </c>
      <c r="K1603" s="4" t="str">
        <f t="shared" si="81"/>
        <v>1  和書</v>
      </c>
      <c r="L1603" s="7"/>
    </row>
    <row r="1604" spans="1:12" ht="24" x14ac:dyDescent="0.15">
      <c r="A1604" s="36">
        <v>1603</v>
      </c>
      <c r="B1604" s="3" t="s">
        <v>94</v>
      </c>
      <c r="C1604" s="4" t="str">
        <f>"0002667201"</f>
        <v>0002667201</v>
      </c>
      <c r="D1604" s="5" t="str">
        <f>"ウォールデン森の生活 / ヘンリー・D・ソロー著 ; 今泉吉晴訳.-- 小学館; 2004.5."</f>
        <v>ウォールデン森の生活 / ヘンリー・D・ソロー著 ; 今泉吉晴訳.-- 小学館; 2004.5.</v>
      </c>
      <c r="E1604" s="4" t="str">
        <f>""</f>
        <v/>
      </c>
      <c r="F1604" s="26"/>
      <c r="G1604" s="27" t="str">
        <f>"934/ｿﾛ"</f>
        <v>934/ｿﾛ</v>
      </c>
      <c r="H1604" s="4" t="str">
        <f>"2004/06/04"</f>
        <v>2004/06/04</v>
      </c>
      <c r="I1604" s="6">
        <v>2740</v>
      </c>
      <c r="J1604" s="6">
        <v>100</v>
      </c>
      <c r="K1604" s="4" t="str">
        <f t="shared" si="81"/>
        <v>1  和書</v>
      </c>
      <c r="L1604" s="7"/>
    </row>
    <row r="1605" spans="1:12" ht="48" x14ac:dyDescent="0.15">
      <c r="A1605" s="36">
        <v>1604</v>
      </c>
      <c r="B1605" s="3" t="s">
        <v>94</v>
      </c>
      <c r="C1605" s="4" t="str">
        <f>"0002027470"</f>
        <v>0002027470</v>
      </c>
      <c r="D1605" s="5" t="str">
        <f>"忘れられた村 / [ジョン・スタインベック著] ; 井上謙治訳 . 爆弾投下 : 爆撃機チームの物語 / [ジョン・スタインベック著] ; 中村正生, 橋口保夫訳.-- 大阪教育図書; 1999.3.-- (スタインベック全集 / 日本スタインベック協会監修 ; 7)."</f>
        <v>忘れられた村 / [ジョン・スタインベック著] ; 井上謙治訳 . 爆弾投下 : 爆撃機チームの物語 / [ジョン・スタインベック著] ; 中村正生, 橋口保夫訳.-- 大阪教育図書; 1999.3.-- (スタインベック全集 / 日本スタインベック協会監修 ; 7).</v>
      </c>
      <c r="E1605" s="4" t="str">
        <f>""</f>
        <v/>
      </c>
      <c r="F1605" s="26"/>
      <c r="G1605" s="27" t="str">
        <f>"938/ｽﾀ/7"</f>
        <v>938/ｽﾀ/7</v>
      </c>
      <c r="H1605" s="4" t="str">
        <f>"1999/10/27"</f>
        <v>1999/10/27</v>
      </c>
      <c r="I1605" s="6">
        <v>6172</v>
      </c>
      <c r="J1605" s="6">
        <v>100</v>
      </c>
      <c r="K1605" s="4" t="str">
        <f t="shared" si="81"/>
        <v>1  和書</v>
      </c>
      <c r="L1605" s="7"/>
    </row>
    <row r="1606" spans="1:12" ht="36" x14ac:dyDescent="0.15">
      <c r="A1606" s="36">
        <v>1605</v>
      </c>
      <c r="B1606" s="3" t="s">
        <v>94</v>
      </c>
      <c r="C1606" s="4" t="str">
        <f>"0002027487"</f>
        <v>0002027487</v>
      </c>
      <c r="D1606" s="5" t="str">
        <f>"真珠 / [ジョン・スタインベック著] ; 中山喜代市訳 . 気まぐれバス / [ジョン・スタインベック著] ; 杉山隆彦, 酒井康宏, 山下巌訳.-- 大阪教育図書; 1999.3.-- (スタインベック全集 / 日本スタインベック協会監修 ; 10)."</f>
        <v>真珠 / [ジョン・スタインベック著] ; 中山喜代市訳 . 気まぐれバス / [ジョン・スタインベック著] ; 杉山隆彦, 酒井康宏, 山下巌訳.-- 大阪教育図書; 1999.3.-- (スタインベック全集 / 日本スタインベック協会監修 ; 10).</v>
      </c>
      <c r="E1606" s="4" t="str">
        <f>""</f>
        <v/>
      </c>
      <c r="F1606" s="26"/>
      <c r="G1606" s="27" t="str">
        <f>"938/ｽﾀ/10"</f>
        <v>938/ｽﾀ/10</v>
      </c>
      <c r="H1606" s="4" t="str">
        <f>"1999/10/27"</f>
        <v>1999/10/27</v>
      </c>
      <c r="I1606" s="6">
        <v>6172</v>
      </c>
      <c r="J1606" s="6">
        <v>100</v>
      </c>
      <c r="K1606" s="4" t="str">
        <f t="shared" si="81"/>
        <v>1  和書</v>
      </c>
      <c r="L1606" s="7"/>
    </row>
    <row r="1607" spans="1:12" ht="48" x14ac:dyDescent="0.15">
      <c r="A1607" s="36">
        <v>1606</v>
      </c>
      <c r="B1607" s="3" t="s">
        <v>94</v>
      </c>
      <c r="C1607" s="4" t="str">
        <f>"0002027494"</f>
        <v>0002027494</v>
      </c>
      <c r="D1607" s="5" t="str">
        <f>"『怒りのぶどう』創作日誌 / [ジョン・スタインベック著] ; [ロバート・ドゥモット編] ; 中田裕二訳 . 『エデンの東』創作日誌 / [ジョン・スタインベック著] ; 八淵龍成, 川田郁子訳.-- 大阪教育図書; 1999.3.-- (スタインベック全集 / 日本スタインベック協会監修 ; 17)."</f>
        <v>『怒りのぶどう』創作日誌 / [ジョン・スタインベック著] ; [ロバート・ドゥモット編] ; 中田裕二訳 . 『エデンの東』創作日誌 / [ジョン・スタインベック著] ; 八淵龍成, 川田郁子訳.-- 大阪教育図書; 1999.3.-- (スタインベック全集 / 日本スタインベック協会監修 ; 17).</v>
      </c>
      <c r="E1607" s="4" t="str">
        <f>""</f>
        <v/>
      </c>
      <c r="F1607" s="26"/>
      <c r="G1607" s="27" t="str">
        <f>"938/ｽﾀ/17"</f>
        <v>938/ｽﾀ/17</v>
      </c>
      <c r="H1607" s="4" t="str">
        <f>"1999/10/27"</f>
        <v>1999/10/27</v>
      </c>
      <c r="I1607" s="6">
        <v>6172</v>
      </c>
      <c r="J1607" s="6">
        <v>100</v>
      </c>
      <c r="K1607" s="4" t="str">
        <f t="shared" si="81"/>
        <v>1  和書</v>
      </c>
      <c r="L1607" s="7"/>
    </row>
    <row r="1608" spans="1:12" ht="36" x14ac:dyDescent="0.15">
      <c r="A1608" s="36">
        <v>1607</v>
      </c>
      <c r="B1608" s="3" t="s">
        <v>94</v>
      </c>
      <c r="C1608" s="4" t="str">
        <f>"0001159080"</f>
        <v>0001159080</v>
      </c>
      <c r="D1608" s="5" t="str">
        <f>"ファロスとファリロン ; デーヴィーの丘 / [E.M.フォースター著] ; 池澤夏樹, 中野康司訳.-- みすず書房; 1994.6.-- (E.M.フォースター著作集 / [E.M.フォースター著] ; 7)."</f>
        <v>ファロスとファリロン ; デーヴィーの丘 / [E.M.フォースター著] ; 池澤夏樹, 中野康司訳.-- みすず書房; 1994.6.-- (E.M.フォースター著作集 / [E.M.フォースター著] ; 7).</v>
      </c>
      <c r="E1608" s="4" t="str">
        <f>""</f>
        <v/>
      </c>
      <c r="F1608" s="26"/>
      <c r="G1608" s="27" t="str">
        <f>"938/ﾌｵ/7"</f>
        <v>938/ﾌｵ/7</v>
      </c>
      <c r="H1608" s="4" t="str">
        <f>"1996/03/29"</f>
        <v>1996/03/29</v>
      </c>
      <c r="I1608" s="6">
        <v>3052</v>
      </c>
      <c r="J1608" s="6">
        <v>100</v>
      </c>
      <c r="K1608" s="4" t="str">
        <f t="shared" si="81"/>
        <v>1  和書</v>
      </c>
      <c r="L1608" s="7"/>
    </row>
    <row r="1609" spans="1:12" ht="24" x14ac:dyDescent="0.15">
      <c r="A1609" s="36">
        <v>1608</v>
      </c>
      <c r="B1609" s="3" t="s">
        <v>94</v>
      </c>
      <c r="C1609" s="4" t="str">
        <f>"0001148961"</f>
        <v>0001148961</v>
      </c>
      <c r="D1609" s="5" t="str">
        <f>"小説の諸相 / [E.M.フォースター著] ; 中野康司訳.-- みすず書房; 1994.11.-- (E.M.フォースター著作集 / [E.M.フォースター著] ; 8)."</f>
        <v>小説の諸相 / [E.M.フォースター著] ; 中野康司訳.-- みすず書房; 1994.11.-- (E.M.フォースター著作集 / [E.M.フォースター著] ; 8).</v>
      </c>
      <c r="E1609" s="4" t="str">
        <f>""</f>
        <v/>
      </c>
      <c r="F1609" s="26"/>
      <c r="G1609" s="27" t="str">
        <f>"938/ﾌｵ/8"</f>
        <v>938/ﾌｵ/8</v>
      </c>
      <c r="H1609" s="4" t="str">
        <f>"1996/03/29"</f>
        <v>1996/03/29</v>
      </c>
      <c r="I1609" s="6">
        <v>2651</v>
      </c>
      <c r="J1609" s="6">
        <v>100</v>
      </c>
      <c r="K1609" s="4" t="str">
        <f t="shared" si="81"/>
        <v>1  和書</v>
      </c>
      <c r="L1609" s="7"/>
    </row>
    <row r="1610" spans="1:12" ht="36" x14ac:dyDescent="0.15">
      <c r="A1610" s="36">
        <v>1609</v>
      </c>
      <c r="B1610" s="3" t="s">
        <v>94</v>
      </c>
      <c r="C1610" s="4" t="str">
        <f>"0001149067"</f>
        <v>0001149067</v>
      </c>
      <c r="D1610" s="5" t="str">
        <f>"民主主義に万歳二唱 / [E.M.フォースター著] ; 小野寺健 [ほか] 共訳 ; 1, 2.-- みすず書房; 1994.-- (E.M.フォースター著作集 / [E.M.フォースター著] ; 11,12)."</f>
        <v>民主主義に万歳二唱 / [E.M.フォースター著] ; 小野寺健 [ほか] 共訳 ; 1, 2.-- みすず書房; 1994.-- (E.M.フォースター著作集 / [E.M.フォースター著] ; 11,12).</v>
      </c>
      <c r="E1610" s="4" t="str">
        <f>"1"</f>
        <v>1</v>
      </c>
      <c r="F1610" s="26"/>
      <c r="G1610" s="27" t="str">
        <f>"938/ﾌｵ/11"</f>
        <v>938/ﾌｵ/11</v>
      </c>
      <c r="H1610" s="4" t="str">
        <f>"1996/03/29"</f>
        <v>1996/03/29</v>
      </c>
      <c r="I1610" s="6">
        <v>2892</v>
      </c>
      <c r="J1610" s="6">
        <v>100</v>
      </c>
      <c r="K1610" s="4" t="str">
        <f t="shared" si="81"/>
        <v>1  和書</v>
      </c>
      <c r="L1610" s="7"/>
    </row>
    <row r="1611" spans="1:12" ht="36" x14ac:dyDescent="0.15">
      <c r="A1611" s="36">
        <v>1610</v>
      </c>
      <c r="B1611" s="3" t="s">
        <v>94</v>
      </c>
      <c r="C1611" s="4" t="str">
        <f>"0001149074"</f>
        <v>0001149074</v>
      </c>
      <c r="D1611" s="5" t="str">
        <f>"民主主義に万歳二唱 / [E.M.フォースター著] ; 小野寺健 [ほか] 共訳 ; 1, 2.-- みすず書房; 1994.-- (E.M.フォースター著作集 / [E.M.フォースター著] ; 11,12)."</f>
        <v>民主主義に万歳二唱 / [E.M.フォースター著] ; 小野寺健 [ほか] 共訳 ; 1, 2.-- みすず書房; 1994.-- (E.M.フォースター著作集 / [E.M.フォースター著] ; 11,12).</v>
      </c>
      <c r="E1611" s="4" t="str">
        <f>"2"</f>
        <v>2</v>
      </c>
      <c r="F1611" s="26"/>
      <c r="G1611" s="27" t="str">
        <f>"938/ﾌｵ/12"</f>
        <v>938/ﾌｵ/12</v>
      </c>
      <c r="H1611" s="4" t="str">
        <f>"1996/03/29"</f>
        <v>1996/03/29</v>
      </c>
      <c r="I1611" s="6">
        <v>2892</v>
      </c>
      <c r="J1611" s="6">
        <v>100</v>
      </c>
      <c r="K1611" s="4" t="str">
        <f t="shared" si="81"/>
        <v>1  和書</v>
      </c>
      <c r="L1611" s="7"/>
    </row>
    <row r="1612" spans="1:12" ht="24" x14ac:dyDescent="0.15">
      <c r="A1612" s="36">
        <v>1611</v>
      </c>
      <c r="B1612" s="3" t="s">
        <v>99</v>
      </c>
      <c r="C1612" s="4" t="str">
        <f>"0000181969"</f>
        <v>0000181969</v>
      </c>
      <c r="D1612" s="5" t="str">
        <f>"ドイツ文学研究史 / ライナー・ローゼンベルク著 ; 林睦實訳.-- 大月書店; 1991.9."</f>
        <v>ドイツ文学研究史 / ライナー・ローゼンベルク著 ; 林睦實訳.-- 大月書店; 1991.9.</v>
      </c>
      <c r="E1612" s="4" t="str">
        <f>""</f>
        <v/>
      </c>
      <c r="F1612" s="26"/>
      <c r="G1612" s="27" t="str">
        <f>"940.2/ﾛｾﾞ"</f>
        <v>940.2/ﾛｾﾞ</v>
      </c>
      <c r="H1612" s="4" t="str">
        <f>"1994/03/31"</f>
        <v>1994/03/31</v>
      </c>
      <c r="I1612" s="6">
        <v>3718</v>
      </c>
      <c r="J1612" s="6">
        <v>100</v>
      </c>
      <c r="K1612" s="4" t="str">
        <f t="shared" si="81"/>
        <v>1  和書</v>
      </c>
      <c r="L1612" s="7"/>
    </row>
    <row r="1613" spans="1:12" ht="24" x14ac:dyDescent="0.15">
      <c r="A1613" s="36">
        <v>1612</v>
      </c>
      <c r="B1613" s="3" t="s">
        <v>99</v>
      </c>
      <c r="C1613" s="4" t="str">
        <f>"0000963305"</f>
        <v>0000963305</v>
      </c>
      <c r="D1613" s="5" t="str">
        <f>"詩的なる精神 ; ヘルダリーン / ベーダ・アレマン著 ; 小磯仁編訳.-- 国文社; 1994.12."</f>
        <v>詩的なる精神 ; ヘルダリーン / ベーダ・アレマン著 ; 小磯仁編訳.-- 国文社; 1994.12.</v>
      </c>
      <c r="E1613" s="4" t="str">
        <f>""</f>
        <v/>
      </c>
      <c r="F1613" s="26"/>
      <c r="G1613" s="27" t="str">
        <f>"941/ｱﾚ"</f>
        <v>941/ｱﾚ</v>
      </c>
      <c r="H1613" s="4" t="str">
        <f>"1996/03/29"</f>
        <v>1996/03/29</v>
      </c>
      <c r="I1613" s="6">
        <v>4450</v>
      </c>
      <c r="J1613" s="6">
        <v>100</v>
      </c>
      <c r="K1613" s="4" t="str">
        <f t="shared" si="81"/>
        <v>1  和書</v>
      </c>
      <c r="L1613" s="7"/>
    </row>
    <row r="1614" spans="1:12" ht="33.75" x14ac:dyDescent="0.15">
      <c r="A1614" s="36">
        <v>1613</v>
      </c>
      <c r="B1614" s="3" t="s">
        <v>100</v>
      </c>
      <c r="C1614" s="4" t="str">
        <f>"0000452632"</f>
        <v>0000452632</v>
      </c>
      <c r="D1614" s="5" t="str">
        <f>"ピエタ : 死をめぐる随想 / ジョージ・クライン著 ; 小野克彦訳.-- 紀伊国屋書店; 1994.2."</f>
        <v>ピエタ : 死をめぐる随想 / ジョージ・クライン著 ; 小野克彦訳.-- 紀伊国屋書店; 1994.2.</v>
      </c>
      <c r="E1614" s="4" t="str">
        <f>""</f>
        <v/>
      </c>
      <c r="F1614" s="26"/>
      <c r="G1614" s="27" t="str">
        <f>"949.84/ｸﾗ"</f>
        <v>949.84/ｸﾗ</v>
      </c>
      <c r="H1614" s="4" t="str">
        <f>"1994/03/31"</f>
        <v>1994/03/31</v>
      </c>
      <c r="I1614" s="6">
        <v>2700</v>
      </c>
      <c r="J1614" s="6">
        <v>100</v>
      </c>
      <c r="K1614" s="4" t="str">
        <f t="shared" si="81"/>
        <v>1  和書</v>
      </c>
      <c r="L1614" s="7"/>
    </row>
    <row r="1615" spans="1:12" ht="24" x14ac:dyDescent="0.15">
      <c r="A1615" s="36">
        <v>1614</v>
      </c>
      <c r="B1615" s="3" t="s">
        <v>101</v>
      </c>
      <c r="C1615" s="4" t="str">
        <f>"0001019445"</f>
        <v>0001019445</v>
      </c>
      <c r="D1615" s="5" t="str">
        <f>"文学生産の哲学 : サドからフーコーまで / ピエール・マシュレ [著] ; 小倉孝誠訳.-- 藤原書店; 1994.2."</f>
        <v>文学生産の哲学 : サドからフーコーまで / ピエール・マシュレ [著] ; 小倉孝誠訳.-- 藤原書店; 1994.2.</v>
      </c>
      <c r="E1615" s="4" t="str">
        <f>""</f>
        <v/>
      </c>
      <c r="F1615" s="26"/>
      <c r="G1615" s="27" t="str">
        <f>"950.2/ﾏｼ"</f>
        <v>950.2/ﾏｼ</v>
      </c>
      <c r="H1615" s="4" t="str">
        <f>"1996/03/29"</f>
        <v>1996/03/29</v>
      </c>
      <c r="I1615" s="6">
        <v>3744</v>
      </c>
      <c r="J1615" s="6">
        <v>100</v>
      </c>
      <c r="K1615" s="4" t="str">
        <f t="shared" si="81"/>
        <v>1  和書</v>
      </c>
      <c r="L1615" s="7"/>
    </row>
    <row r="1616" spans="1:12" ht="24" x14ac:dyDescent="0.15">
      <c r="A1616" s="36">
        <v>1615</v>
      </c>
      <c r="B1616" s="3" t="s">
        <v>101</v>
      </c>
      <c r="C1616" s="4" t="str">
        <f>"0000965293"</f>
        <v>0000965293</v>
      </c>
      <c r="D1616" s="5" t="str">
        <f>"マルグリット・デュラス / クリスティアーヌ・ブロ=ラバレール編 ; 谷口正子訳.-- 国文社; 1996.4."</f>
        <v>マルグリット・デュラス / クリスティアーヌ・ブロ=ラバレール編 ; 谷口正子訳.-- 国文社; 1996.4.</v>
      </c>
      <c r="E1616" s="4" t="str">
        <f>""</f>
        <v/>
      </c>
      <c r="F1616" s="26"/>
      <c r="G1616" s="27" t="str">
        <f>"950.28/ﾃﾞﾕ"</f>
        <v>950.28/ﾃﾞﾕ</v>
      </c>
      <c r="H1616" s="4" t="str">
        <f>"1996/09/20"</f>
        <v>1996/09/20</v>
      </c>
      <c r="I1616" s="6">
        <v>3500</v>
      </c>
      <c r="J1616" s="6">
        <v>100</v>
      </c>
      <c r="K1616" s="4" t="str">
        <f t="shared" si="81"/>
        <v>1  和書</v>
      </c>
      <c r="L1616" s="7"/>
    </row>
    <row r="1617" spans="1:12" ht="24" x14ac:dyDescent="0.15">
      <c r="A1617" s="36">
        <v>1616</v>
      </c>
      <c r="B1617" s="3" t="s">
        <v>101</v>
      </c>
      <c r="C1617" s="4" t="str">
        <f>"0003514559"</f>
        <v>0003514559</v>
      </c>
      <c r="D1617" s="5" t="str">
        <f>"ロラン・バルト : 言語を愛し恐れつづけた批評家 / 石川美子著.-- 中央公論新社; 2015.9.-- (中公新書 ; 2339)."</f>
        <v>ロラン・バルト : 言語を愛し恐れつづけた批評家 / 石川美子著.-- 中央公論新社; 2015.9.-- (中公新書 ; 2339).</v>
      </c>
      <c r="E1617" s="4" t="str">
        <f>""</f>
        <v/>
      </c>
      <c r="F1617" s="26"/>
      <c r="G1617" s="27" t="str">
        <f>"950.28/ﾊﾞﾙ"</f>
        <v>950.28/ﾊﾞﾙ</v>
      </c>
      <c r="H1617" s="4" t="str">
        <f>"2015/11/05"</f>
        <v>2015/11/05</v>
      </c>
      <c r="I1617" s="6">
        <v>864</v>
      </c>
      <c r="J1617" s="6">
        <v>100</v>
      </c>
      <c r="K1617" s="4" t="str">
        <f t="shared" si="81"/>
        <v>1  和書</v>
      </c>
      <c r="L1617" s="7"/>
    </row>
    <row r="1618" spans="1:12" ht="36" x14ac:dyDescent="0.15">
      <c r="A1618" s="36">
        <v>1617</v>
      </c>
      <c r="B1618" s="3" t="s">
        <v>102</v>
      </c>
      <c r="C1618" s="4" t="str">
        <f>"0000200509"</f>
        <v>0000200509</v>
      </c>
      <c r="D1618" s="5" t="str">
        <f>"なんと美しい日曜日! : ブーヘンワルト強制収容所・1944年冬 / ホルヘ・センプルン著 ; 榊原晃三訳 ; 1, 2.-- 岩波書店; 1986.11.-- (岩波現代選書 ; 116,117)."</f>
        <v>なんと美しい日曜日! : ブーヘンワルト強制収容所・1944年冬 / ホルヘ・センプルン著 ; 榊原晃三訳 ; 1, 2.-- 岩波書店; 1986.11.-- (岩波現代選書 ; 116,117).</v>
      </c>
      <c r="E1618" s="4" t="str">
        <f>"1"</f>
        <v>1</v>
      </c>
      <c r="F1618" s="26"/>
      <c r="G1618" s="27" t="str">
        <f>"963/ｾﾝ/1"</f>
        <v>963/ｾﾝ/1</v>
      </c>
      <c r="H1618" s="4" t="str">
        <f>"1994/03/31"</f>
        <v>1994/03/31</v>
      </c>
      <c r="I1618" s="6">
        <v>1662</v>
      </c>
      <c r="J1618" s="6">
        <v>100</v>
      </c>
      <c r="K1618" s="4" t="str">
        <f t="shared" si="81"/>
        <v>1  和書</v>
      </c>
      <c r="L1618" s="7"/>
    </row>
    <row r="1619" spans="1:12" ht="36" x14ac:dyDescent="0.15">
      <c r="A1619" s="36">
        <v>1618</v>
      </c>
      <c r="B1619" s="3" t="s">
        <v>102</v>
      </c>
      <c r="C1619" s="4" t="str">
        <f>"0000296441"</f>
        <v>0000296441</v>
      </c>
      <c r="D1619" s="5" t="str">
        <f>"なんと美しい日曜日! : ブーヘンワルト強制収容所・1944年冬 / ホルヘ・センプルン著 ; 榊原晃三訳 ; 1, 2.-- 岩波書店; 1986.11.-- (岩波現代選書 ; 116,117)."</f>
        <v>なんと美しい日曜日! : ブーヘンワルト強制収容所・1944年冬 / ホルヘ・センプルン著 ; 榊原晃三訳 ; 1, 2.-- 岩波書店; 1986.11.-- (岩波現代選書 ; 116,117).</v>
      </c>
      <c r="E1619" s="4" t="str">
        <f>"2"</f>
        <v>2</v>
      </c>
      <c r="F1619" s="26"/>
      <c r="G1619" s="27" t="str">
        <f>"963/ｾﾝ/2"</f>
        <v>963/ｾﾝ/2</v>
      </c>
      <c r="H1619" s="4" t="str">
        <f>"1994/03/31"</f>
        <v>1994/03/31</v>
      </c>
      <c r="I1619" s="6">
        <v>1872</v>
      </c>
      <c r="J1619" s="6">
        <v>100</v>
      </c>
      <c r="K1619" s="4" t="str">
        <f t="shared" si="81"/>
        <v>1  和書</v>
      </c>
      <c r="L1619" s="7"/>
    </row>
    <row r="1620" spans="1:12" ht="24" x14ac:dyDescent="0.15">
      <c r="A1620" s="36">
        <v>1619</v>
      </c>
      <c r="B1620" s="3" t="s">
        <v>103</v>
      </c>
      <c r="C1620" s="4" t="str">
        <f>"0000688079"</f>
        <v>0000688079</v>
      </c>
      <c r="D1620" s="5" t="str">
        <f>"レフ・トルストイと現代 : 論文集 / S・ローザノワ編 ; 法橋和彦 [ほか] 訳.-- ラドガ出版所."</f>
        <v>レフ・トルストイと現代 : 論文集 / S・ローザノワ編 ; 法橋和彦 [ほか] 訳.-- ラドガ出版所.</v>
      </c>
      <c r="E1620" s="4" t="str">
        <f>""</f>
        <v/>
      </c>
      <c r="F1620" s="26"/>
      <c r="G1620" s="27" t="str">
        <f>"980.28/ﾛｻﾞ"</f>
        <v>980.28/ﾛｻﾞ</v>
      </c>
      <c r="H1620" s="4" t="str">
        <f>"1995/03/31"</f>
        <v>1995/03/31</v>
      </c>
      <c r="I1620" s="6">
        <v>816</v>
      </c>
      <c r="J1620" s="6">
        <v>100</v>
      </c>
      <c r="K1620" s="4" t="str">
        <f t="shared" si="81"/>
        <v>1  和書</v>
      </c>
      <c r="L1620" s="7"/>
    </row>
    <row r="1621" spans="1:12" ht="24" x14ac:dyDescent="0.15">
      <c r="A1621" s="36">
        <v>1620</v>
      </c>
      <c r="B1621" s="3" t="s">
        <v>104</v>
      </c>
      <c r="C1621" s="4" t="str">
        <f>"0000075732"</f>
        <v>0000075732</v>
      </c>
      <c r="D1621" s="5" t="str">
        <f>"ハシェクの生涯 : 「善良な兵士シュベイク」の父 / グスタフ・ヤノーホ著 ; 土肥美夫訳.-- みすず書房; 1970.7."</f>
        <v>ハシェクの生涯 : 「善良な兵士シュベイク」の父 / グスタフ・ヤノーホ著 ; 土肥美夫訳.-- みすず書房; 1970.7.</v>
      </c>
      <c r="E1621" s="4" t="str">
        <f>""</f>
        <v/>
      </c>
      <c r="F1621" s="26"/>
      <c r="G1621" s="27" t="str">
        <f>"989.5/ﾊｼ"</f>
        <v>989.5/ﾊｼ</v>
      </c>
      <c r="H1621" s="4" t="str">
        <f>"1994/03/31"</f>
        <v>1994/03/31</v>
      </c>
      <c r="I1621" s="6">
        <v>853</v>
      </c>
      <c r="J1621" s="6">
        <v>100</v>
      </c>
      <c r="K1621" s="4" t="str">
        <f t="shared" si="81"/>
        <v>1  和書</v>
      </c>
      <c r="L1621" s="7"/>
    </row>
    <row r="1622" spans="1:12" ht="24" x14ac:dyDescent="0.15">
      <c r="A1622" s="36">
        <v>1621</v>
      </c>
      <c r="B1622" s="3" t="s">
        <v>105</v>
      </c>
      <c r="C1622" s="4" t="str">
        <f>"0002805184"</f>
        <v>0002805184</v>
      </c>
      <c r="D1622" s="5" t="str">
        <f>"『変身物語』を読む : 羅英対訳詳註 / 鈴木利久著 ; 1 - 4.-- 渓水社; 2001.8-2008.2."</f>
        <v>『変身物語』を読む : 羅英対訳詳註 / 鈴木利久著 ; 1 - 4.-- 渓水社; 2001.8-2008.2.</v>
      </c>
      <c r="E1622" s="4" t="str">
        <f>"1"</f>
        <v>1</v>
      </c>
      <c r="F1622" s="26"/>
      <c r="G1622" s="27" t="str">
        <f>"992.3/ｽｽﾞ"</f>
        <v>992.3/ｽｽﾞ</v>
      </c>
      <c r="H1622" s="4" t="str">
        <f>"2005/09/02"</f>
        <v>2005/09/02</v>
      </c>
      <c r="I1622" s="6">
        <v>4194</v>
      </c>
      <c r="J1622" s="6">
        <v>100</v>
      </c>
      <c r="K1622" s="4" t="str">
        <f t="shared" si="81"/>
        <v>1  和書</v>
      </c>
      <c r="L1622" s="7"/>
    </row>
    <row r="1623" spans="1:12" ht="22.5" x14ac:dyDescent="0.15">
      <c r="A1623" s="36">
        <v>1622</v>
      </c>
      <c r="B1623" s="3" t="s">
        <v>105</v>
      </c>
      <c r="C1623" s="4" t="str">
        <f>"0002019208"</f>
        <v>0002019208</v>
      </c>
      <c r="D1623" s="5" t="str">
        <f>"ケルトの名残とアイルランド文化 / 風呂本武敏編著.-- 溪水社; 1999.2."</f>
        <v>ケルトの名残とアイルランド文化 / 風呂本武敏編著.-- 溪水社; 1999.2.</v>
      </c>
      <c r="E1623" s="4" t="str">
        <f>""</f>
        <v/>
      </c>
      <c r="F1623" s="26"/>
      <c r="G1623" s="27" t="str">
        <f>"993.2/ﾌﾛ"</f>
        <v>993.2/ﾌﾛ</v>
      </c>
      <c r="H1623" s="4" t="str">
        <f>"1999/08/29"</f>
        <v>1999/08/29</v>
      </c>
      <c r="I1623" s="6">
        <v>5292</v>
      </c>
      <c r="J1623" s="6">
        <v>100</v>
      </c>
      <c r="K1623" s="4" t="str">
        <f t="shared" si="81"/>
        <v>1  和書</v>
      </c>
      <c r="L1623" s="7"/>
    </row>
    <row r="1624" spans="1:12" ht="22.5" x14ac:dyDescent="0.15">
      <c r="A1624" s="36">
        <v>1623</v>
      </c>
      <c r="B1624" s="3" t="s">
        <v>105</v>
      </c>
      <c r="C1624" s="10" t="str">
        <f>"0003617458"</f>
        <v>0003617458</v>
      </c>
      <c r="D1624" s="11" t="str">
        <f>"ケルトの名残とアイルランド文化 / 風呂本武敏編著.-- 溪水社; 1999.2."</f>
        <v>ケルトの名残とアイルランド文化 / 風呂本武敏編著.-- 溪水社; 1999.2.</v>
      </c>
      <c r="E1624" s="10" t="str">
        <f>""</f>
        <v/>
      </c>
      <c r="F1624" s="28" t="s">
        <v>8</v>
      </c>
      <c r="G1624" s="29" t="str">
        <f>"993.2/ﾌﾛ"</f>
        <v>993.2/ﾌﾛ</v>
      </c>
      <c r="H1624" s="10" t="str">
        <f>"2016/04/08"</f>
        <v>2016/04/08</v>
      </c>
      <c r="I1624" s="12">
        <v>5670</v>
      </c>
      <c r="J1624" s="12">
        <v>100</v>
      </c>
      <c r="K1624" s="10" t="str">
        <f t="shared" si="81"/>
        <v>1  和書</v>
      </c>
      <c r="L1624" s="13"/>
    </row>
    <row r="1625" spans="1:12" ht="24.75" thickBot="1" x14ac:dyDescent="0.2">
      <c r="A1625" s="37">
        <v>1624</v>
      </c>
      <c r="B1625" s="38" t="s">
        <v>105</v>
      </c>
      <c r="C1625" s="39" t="str">
        <f>"0002104768"</f>
        <v>0002104768</v>
      </c>
      <c r="D1625" s="40" t="str">
        <f>"豊穣の風土 : 現代アイルランド文学の群像 / 佐野哲郎編.-- 山口書店; 1994.8."</f>
        <v>豊穣の風土 : 現代アイルランド文学の群像 / 佐野哲郎編.-- 山口書店; 1994.8.</v>
      </c>
      <c r="E1625" s="39" t="str">
        <f>""</f>
        <v/>
      </c>
      <c r="F1625" s="44"/>
      <c r="G1625" s="43" t="str">
        <f>"993.2/ﾎｳ"</f>
        <v>993.2/ﾎｳ</v>
      </c>
      <c r="H1625" s="39" t="str">
        <f>"1999/05/31"</f>
        <v>1999/05/31</v>
      </c>
      <c r="I1625" s="41">
        <v>4587</v>
      </c>
      <c r="J1625" s="41">
        <v>100</v>
      </c>
      <c r="K1625" s="39" t="str">
        <f t="shared" si="81"/>
        <v>1  和書</v>
      </c>
      <c r="L1625" s="42"/>
    </row>
    <row r="1628" spans="1:12" ht="24" x14ac:dyDescent="0.15">
      <c r="H1628" s="22"/>
      <c r="I1628" s="23" t="s">
        <v>107</v>
      </c>
    </row>
  </sheetData>
  <autoFilter ref="A1:L1625" xr:uid="{338A2699-4016-46FA-A8C1-6E95B7465227}"/>
  <phoneticPr fontId="2"/>
  <pageMargins left="0.51181102362204722" right="0.51181102362204722" top="0.74803149606299213" bottom="0.55118110236220474" header="0.31496062992125984" footer="0.31496062992125984"/>
  <pageSetup paperSize="9" orientation="landscape" r:id="rId1"/>
  <headerFooter>
    <oddHeader>&amp;C2019年度リユース市用図書リスト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2019リユース市用図書リスト</vt:lpstr>
      <vt:lpstr>'2019リユース市用図書リスト'!Print_Area</vt:lpstr>
      <vt:lpstr>'2019リユース市用図書リスト'!Print_Titles</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広島市立大学　情報処理センター</dc:creator>
  <cp:lastModifiedBy>hinagata</cp:lastModifiedBy>
  <cp:lastPrinted>2019-10-14T06:13:36Z</cp:lastPrinted>
  <dcterms:created xsi:type="dcterms:W3CDTF">2018-10-15T07:13:08Z</dcterms:created>
  <dcterms:modified xsi:type="dcterms:W3CDTF">2019-10-14T06:22:01Z</dcterms:modified>
</cp:coreProperties>
</file>